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4" activeTab="4"/>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state="hidden" r:id="rId47"/>
    <sheet name="Порядок ТП" sheetId="47" state="hidden" r:id="rId48"/>
    <sheet name="Предложение" sheetId="48" r:id="rId49"/>
    <sheet name="Сведения о закупках" sheetId="49"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Предложение!$L$89</definedName>
    <definedName name="OFFER_METHOD">Предложение!$K$24:$K$87</definedName>
    <definedName name="OFFER_METHOD_FLAG">TEHSHEET!$L$6</definedName>
    <definedName name="OFFER_TARIFF_A_1">Предложение!$24:$26</definedName>
    <definedName name="OFFER_TARIFF_A_2">Предложение!$91:$93</definedName>
    <definedName name="OFFER_TARIFF_A_3">Предложение!$156:$158</definedName>
    <definedName name="OFFER_TARIFF_A_4">Предложение!$221:$223</definedName>
    <definedName name="OFFER_TARIFF_A_5">Предложение!$286:$288</definedName>
    <definedName name="OFFER_TARIFF_A_COLDVSNA_1">Предложение!$55:$57</definedName>
    <definedName name="OFFER_TARIFF_A_COLDVSNA_2">Предложение!$122:$124</definedName>
    <definedName name="OFFER_TARIFF_A_COLDVSNA_3">Предложение!$187:$189</definedName>
    <definedName name="OFFER_TARIFF_A_COLDVSNA_4">Предложение!$252:$254</definedName>
    <definedName name="OFFER_TARIFF_A_COLDVSNA_5">Предложение!$317:$319</definedName>
    <definedName name="OFFER_TARIFF_A_HOTVSNA_1">Предложение!$70:$72</definedName>
    <definedName name="OFFER_TARIFF_A_HOTVSNA_2">Предложение!$137:$139</definedName>
    <definedName name="OFFER_TARIFF_A_HOTVSNA_3">Предложение!$202:$204</definedName>
    <definedName name="OFFER_TARIFF_A_HOTVSNA_4">Предложение!$267:$269</definedName>
    <definedName name="OFFER_TARIFF_A_HOTVSNA_5">Предложение!$332:$334</definedName>
    <definedName name="OFFER_TARIFF_A_VOTV_1">Предложение!$79:$81</definedName>
    <definedName name="OFFER_TARIFF_A_VOTV_2">Предложение!$146:$148</definedName>
    <definedName name="OFFER_TARIFF_A_VOTV_3">Предложение!$211:$213</definedName>
    <definedName name="OFFER_TARIFF_A_VOTV_4">Предложение!$276:$278</definedName>
    <definedName name="OFFER_TARIFF_A_VOTV_5">Предложение!$341:$343</definedName>
    <definedName name="OFFER_TARIFF_B_1">Предложение!$27:$33</definedName>
    <definedName name="OFFER_TARIFF_B_2">Предложение!$94:$100</definedName>
    <definedName name="OFFER_TARIFF_B_3">Предложение!$159:$165</definedName>
    <definedName name="OFFER_TARIFF_B_4">Предложение!$224:$230</definedName>
    <definedName name="OFFER_TARIFF_B_5">Предложение!$289:$295</definedName>
    <definedName name="OFFER_TARIFF_B_COLDVSNA_1">Предложение!$58:$60</definedName>
    <definedName name="OFFER_TARIFF_B_COLDVSNA_2">Предложение!$125:$127</definedName>
    <definedName name="OFFER_TARIFF_B_COLDVSNA_3">Предложение!$190:$192</definedName>
    <definedName name="OFFER_TARIFF_B_COLDVSNA_4">Предложение!$255:$257</definedName>
    <definedName name="OFFER_TARIFF_B_COLDVSNA_5">Предложение!$320:$322</definedName>
    <definedName name="OFFER_TARIFF_B_HOTVSNA_1">Предложение!$73:$75</definedName>
    <definedName name="OFFER_TARIFF_B_HOTVSNA_2">Предложение!$140:$142</definedName>
    <definedName name="OFFER_TARIFF_B_HOTVSNA_3">Предложение!$205:$207</definedName>
    <definedName name="OFFER_TARIFF_B_HOTVSNA_4">Предложение!$270:$272</definedName>
    <definedName name="OFFER_TARIFF_B_HOTVSNA_5">Предложение!$335:$337</definedName>
    <definedName name="OFFER_TARIFF_B_VOTV_1">Предложение!$82:$84</definedName>
    <definedName name="OFFER_TARIFF_B_VOTV_2">Предложение!$149:$151</definedName>
    <definedName name="OFFER_TARIFF_B_VOTV_3">Предложение!$214:$216</definedName>
    <definedName name="OFFER_TARIFF_B_VOTV_4">Предложение!$279:$281</definedName>
    <definedName name="OFFER_TARIFF_B_VOTV_5">Предложение!$344:$346</definedName>
    <definedName name="OFFER_TARIFF_C_1">Предложение!$34:$36</definedName>
    <definedName name="OFFER_TARIFF_C_2">Предложение!$101:$103</definedName>
    <definedName name="OFFER_TARIFF_C_3">Предложение!$166:$168</definedName>
    <definedName name="OFFER_TARIFF_C_4">Предложение!$231:$233</definedName>
    <definedName name="OFFER_TARIFF_C_5">Предложение!$296:$298</definedName>
    <definedName name="OFFER_TARIFF_C_COLDVSNA_1">Предложение!$61:$63</definedName>
    <definedName name="OFFER_TARIFF_C_COLDVSNA_2">Предложение!$128:$130</definedName>
    <definedName name="OFFER_TARIFF_C_COLDVSNA_3">Предложение!$193:$195</definedName>
    <definedName name="OFFER_TARIFF_C_COLDVSNA_4">Предложение!$258:$260</definedName>
    <definedName name="OFFER_TARIFF_C_COLDVSNA_5">Предложение!$323:$325</definedName>
    <definedName name="OFFER_TARIFF_C_HOTVSNA_1">Предложение!$76:$78</definedName>
    <definedName name="OFFER_TARIFF_C_HOTVSNA_2">Предложение!$143:$145</definedName>
    <definedName name="OFFER_TARIFF_C_HOTVSNA_3">Предложение!$208:$210</definedName>
    <definedName name="OFFER_TARIFF_C_HOTVSNA_4">Предложение!$273:$275</definedName>
    <definedName name="OFFER_TARIFF_C_HOTVSNA_5">Предложение!$338:$340</definedName>
    <definedName name="OFFER_TARIFF_C_VOTV_1">Предложение!$85:$87</definedName>
    <definedName name="OFFER_TARIFF_C_VOTV_2">Предложение!$152:$154</definedName>
    <definedName name="OFFER_TARIFF_C_VOTV_3">Предложение!$217:$219</definedName>
    <definedName name="OFFER_TARIFF_C_VOTV_4">Предложение!$282:$284</definedName>
    <definedName name="OFFER_TARIFF_C_VOTV_5">Предложение!$347:$349</definedName>
    <definedName name="OFFER_TARIFF_D_1">Предложение!$37:$39</definedName>
    <definedName name="OFFER_TARIFF_D_2">Предложение!$104:$106</definedName>
    <definedName name="OFFER_TARIFF_D_3">Предложение!$169:$171</definedName>
    <definedName name="OFFER_TARIFF_D_4">Предложение!$234:$236</definedName>
    <definedName name="OFFER_TARIFF_D_5">Предложение!$299:$301</definedName>
    <definedName name="OFFER_TARIFF_D_COLDVSNA_1">Предложение!$64:$66</definedName>
    <definedName name="OFFER_TARIFF_D_COLDVSNA_2">Предложение!$131:$133</definedName>
    <definedName name="OFFER_TARIFF_D_COLDVSNA_3">Предложение!$196:$198</definedName>
    <definedName name="OFFER_TARIFF_D_COLDVSNA_4">Предложение!$261:$263</definedName>
    <definedName name="OFFER_TARIFF_D_COLDVSNA_5">Предложение!$326:$328</definedName>
    <definedName name="OFFER_TARIFF_E_COLDVSNA_1">Предложение!$67:$69</definedName>
    <definedName name="OFFER_TARIFF_E_COLDVSNA_2">Предложение!$134:$136</definedName>
    <definedName name="OFFER_TARIFF_E_COLDVSNA_3">Предложение!$199:$201</definedName>
    <definedName name="OFFER_TARIFF_E_COLDVSNA_4">Предложение!$264:$266</definedName>
    <definedName name="OFFER_TARIFF_E_COLDVSNA_5">Предложение!$329:$331</definedName>
    <definedName name="OFFER_TARIFF_E1_1">Предложение!$40:$42</definedName>
    <definedName name="OFFER_TARIFF_E1_2">Предложение!$107:$109</definedName>
    <definedName name="OFFER_TARIFF_E1_3">Предложение!$172:$174</definedName>
    <definedName name="OFFER_TARIFF_E1_4">Предложение!$237:$239</definedName>
    <definedName name="OFFER_TARIFF_E1_5">Предложение!$302:$304</definedName>
    <definedName name="OFFER_TARIFF_E2_1">Предложение!$43:$45</definedName>
    <definedName name="OFFER_TARIFF_E2_2">Предложение!$110:$112</definedName>
    <definedName name="OFFER_TARIFF_E2_3">Предложение!$175:$177</definedName>
    <definedName name="OFFER_TARIFF_E2_4">Предложение!$240:$242</definedName>
    <definedName name="OFFER_TARIFF_E2_5">Предложение!$305:$307</definedName>
    <definedName name="OFFER_TARIFF_F_1">Предложение!$46:$48</definedName>
    <definedName name="OFFER_TARIFF_F_2">Предложение!$113:$115</definedName>
    <definedName name="OFFER_TARIFF_F_3">Предложение!$178:$180</definedName>
    <definedName name="OFFER_TARIFF_F_4">Предложение!$243:$245</definedName>
    <definedName name="OFFER_TARIFF_F_5">Предложение!$308:$310</definedName>
    <definedName name="OFFER_TARIFF_G_1">Предложение!$49:$51</definedName>
    <definedName name="OFFER_TARIFF_G_2">Предложение!$116:$118</definedName>
    <definedName name="OFFER_TARIFF_G_3">Предложение!$181:$183</definedName>
    <definedName name="OFFER_TARIFF_G_4">Предложение!$246:$248</definedName>
    <definedName name="OFFER_TARIFF_G_5">Предложение!$311:$313</definedName>
    <definedName name="OFFER_TARIFF_H_1">Предложение!$52:$54</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Предложение!$G$57</definedName>
    <definedName name="pIns_PT_VTAR_A_COLDVSNA_OFFER_2">Предложение!$G$124</definedName>
    <definedName name="pIns_PT_VTAR_A_COLDVSNA_OFFER_3">Предложение!$G$189</definedName>
    <definedName name="pIns_PT_VTAR_A_COLDVSNA_OFFER_4">Предложение!$G$254</definedName>
    <definedName name="pIns_PT_VTAR_A_COLDVSNA_OFFER_5">Предложение!$G$319</definedName>
    <definedName name="pIns_PT_VTAR_A_COLDVSNA_OFFER5">Предложение!$G$319</definedName>
    <definedName name="pIns_PT_VTAR_A_HOTVSNA">'ГВС. Т-гор.вода'!$T$54</definedName>
    <definedName name="pIns_PT_VTAR_A_HOTVSNA_OFFER_1">Предложение!$G$72</definedName>
    <definedName name="pIns_PT_VTAR_A_HOTVSNA_OFFER_2">Предложение!$G$139</definedName>
    <definedName name="pIns_PT_VTAR_A_HOTVSNA_OFFER_3">Предложение!$G$204</definedName>
    <definedName name="pIns_PT_VTAR_A_HOTVSNA_OFFER_4">Предложение!$G$269</definedName>
    <definedName name="pIns_PT_VTAR_A_HOTVSNA_OFFER_5">Предложение!$G$334</definedName>
    <definedName name="pIns_PT_VTAR_A_OFFER_1">Предложение!$G$26</definedName>
    <definedName name="pIns_PT_VTAR_A_OFFER_2">Предложение!$G$93</definedName>
    <definedName name="pIns_PT_VTAR_A_OFFER_3">Предложение!$G$158</definedName>
    <definedName name="pIns_PT_VTAR_A_OFFER_4">Предложение!$G$223</definedName>
    <definedName name="pIns_PT_VTAR_A_OFFER_5">Предложение!$G$288</definedName>
    <definedName name="pIns_PT_VTAR_A_VOTV">'ВО. Т-во'!$T$53</definedName>
    <definedName name="pIns_PT_VTAR_A_VOTV_OFFER_1">Предложение!$G$81</definedName>
    <definedName name="pIns_PT_VTAR_A_VOTV_OFFER_2">Предложение!$G$148</definedName>
    <definedName name="pIns_PT_VTAR_A_VOTV_OFFER_3">Предложение!$G$213</definedName>
    <definedName name="pIns_PT_VTAR_A_VOTV_OFFER_4">Предложение!$G$278</definedName>
    <definedName name="pIns_PT_VTAR_A_VOTV_OFFER_5">Предложение!$G$343</definedName>
    <definedName name="pIns_PT_VTAR_B">'ТС. Т-ТЭ | ТСО'!$T$57</definedName>
    <definedName name="pIns_PT_VTAR_B_COLDVSNA">'ХВС. Т-тех'!$T$53</definedName>
    <definedName name="pIns_PT_VTAR_B_COLDVSNA_OFFER_1">Предложение!$G$60</definedName>
    <definedName name="pIns_PT_VTAR_B_COLDVSNA_OFFER_2">Предложение!$G$127</definedName>
    <definedName name="pIns_PT_VTAR_B_COLDVSNA_OFFER_3">Предложение!$G$192</definedName>
    <definedName name="pIns_PT_VTAR_B_COLDVSNA_OFFER_4">Предложение!$G$257</definedName>
    <definedName name="pIns_PT_VTAR_B_COLDVSNA_OFFER_5">Предложение!$G$322</definedName>
    <definedName name="pIns_PT_VTAR_B_HOTVSNA">'ГВС. Т-транс'!$T$54</definedName>
    <definedName name="pIns_PT_VTAR_B_HOTVSNA_OFFER_1">Предложение!$G$75</definedName>
    <definedName name="pIns_PT_VTAR_B_HOTVSNA_OFFER_2">Предложение!$G$142</definedName>
    <definedName name="pIns_PT_VTAR_B_HOTVSNA_OFFER_3">Предложение!$G$207</definedName>
    <definedName name="pIns_PT_VTAR_B_HOTVSNA_OFFER_4">Предложение!$G$272</definedName>
    <definedName name="pIns_PT_VTAR_B_HOTVSNA_OFFER_5">Предложение!$G$337</definedName>
    <definedName name="pIns_PT_VTAR_B_OFFER_1">Предложение!$G$33</definedName>
    <definedName name="pIns_PT_VTAR_B_OFFER_2">Предложение!$G$100</definedName>
    <definedName name="pIns_PT_VTAR_B_OFFER_3">Предложение!$G$165</definedName>
    <definedName name="pIns_PT_VTAR_B_OFFER_4">Предложение!$G$230</definedName>
    <definedName name="pIns_PT_VTAR_B_OFFER_5">Предложение!$G$295</definedName>
    <definedName name="pIns_PT_VTAR_B_VOTV">'ВО. Т-транс'!$T$53</definedName>
    <definedName name="pIns_PT_VTAR_B_VOTV_OFFER_1">Предложение!$G$84</definedName>
    <definedName name="pIns_PT_VTAR_B_VOTV_OFFER_2">Предложение!$G$151</definedName>
    <definedName name="pIns_PT_VTAR_B_VOTV_OFFER_3">Предложение!$G$216</definedName>
    <definedName name="pIns_PT_VTAR_B_VOTV_OFFER_4">Предложение!$G$281</definedName>
    <definedName name="pIns_PT_VTAR_B_VOTV_OFFER_5">Предложение!$G$346</definedName>
    <definedName name="pIns_PT_VTAR_C">'ТС. Т-ТН'!$T$57</definedName>
    <definedName name="pIns_PT_VTAR_C_COLDVSNA">'ХВС. Т-транс'!$T$53</definedName>
    <definedName name="pIns_PT_VTAR_C_COLDVSNA_OFFER_1">Предложение!$G$63</definedName>
    <definedName name="pIns_PT_VTAR_C_COLDVSNA_OFFER_2">Предложение!$G$130</definedName>
    <definedName name="pIns_PT_VTAR_C_COLDVSNA_OFFER_3">Предложение!$G$195</definedName>
    <definedName name="pIns_PT_VTAR_C_COLDVSNA_OFFER_4">Предложение!$G$260</definedName>
    <definedName name="pIns_PT_VTAR_C_COLDVSNA_OFFER_5">Предложение!$G$325</definedName>
    <definedName name="pIns_PT_VTAR_C_HOTVSNA">'ГВС. Т-подкл'!$T$63</definedName>
    <definedName name="pIns_PT_VTAR_C_HOTVSNA_OFFER_1">Предложение!$G$78</definedName>
    <definedName name="pIns_PT_VTAR_C_HOTVSNA_OFFER_2">Предложение!$G$145</definedName>
    <definedName name="pIns_PT_VTAR_C_HOTVSNA_OFFER_3">Предложение!$G$210</definedName>
    <definedName name="pIns_PT_VTAR_C_HOTVSNA_OFFER_4">Предложение!$G$275</definedName>
    <definedName name="pIns_PT_VTAR_C_HOTVSNA_OFFER_5">Предложение!$G$340</definedName>
    <definedName name="pIns_PT_VTAR_C_OFFER_1">Предложение!$G$36</definedName>
    <definedName name="pIns_PT_VTAR_C_OFFER_2">Предложение!$G$103</definedName>
    <definedName name="pIns_PT_VTAR_C_OFFER_3">Предложение!$G$168</definedName>
    <definedName name="pIns_PT_VTAR_C_OFFER_4">Предложение!$G$233</definedName>
    <definedName name="pIns_PT_VTAR_C_OFFER_5">Предложение!$G$298</definedName>
    <definedName name="pIns_PT_VTAR_C_VOTV">'ВО. Т-подкл'!$T$63</definedName>
    <definedName name="pIns_PT_VTAR_C_VOTV_OFFER_1">Предложение!$G$87</definedName>
    <definedName name="pIns_PT_VTAR_C_VOTV_OFFER_2">Предложение!$G$154</definedName>
    <definedName name="pIns_PT_VTAR_C_VOTV_OFFER_3">Предложение!$G$219</definedName>
    <definedName name="pIns_PT_VTAR_C_VOTV_OFFER_4">Предложение!$G$284</definedName>
    <definedName name="pIns_PT_VTAR_C_VOTV_OFFER_5">Предложение!$G$349</definedName>
    <definedName name="pIns_PT_VTAR_D">'ТС. Т-гор.вода'!$V$65</definedName>
    <definedName name="pIns_PT_VTAR_D_COLDVSNA">'ХВС. Т-подвоз'!$T$53</definedName>
    <definedName name="pIns_PT_VTAR_D_COLDVSNA_OFFER_1">Предложение!$G$66</definedName>
    <definedName name="pIns_PT_VTAR_D_COLDVSNA_OFFER_2">Предложение!$G$133</definedName>
    <definedName name="pIns_PT_VTAR_D_COLDVSNA_OFFER_3">Предложение!$G$198</definedName>
    <definedName name="pIns_PT_VTAR_D_COLDVSNA_OFFER_4">Предложение!$G$263</definedName>
    <definedName name="pIns_PT_VTAR_D_COLDVSNA_OFFER_5">Предложение!$G$328</definedName>
    <definedName name="pIns_PT_VTAR_D_OFFER_1">Предложение!$G$39</definedName>
    <definedName name="pIns_PT_VTAR_D_OFFER_2">Предложение!$G$106</definedName>
    <definedName name="pIns_PT_VTAR_D_OFFER_3">Предложение!$G$171</definedName>
    <definedName name="pIns_PT_VTAR_D_OFFER_4">Предложение!$G$236</definedName>
    <definedName name="pIns_PT_VTAR_D_OFFER_5">Предложение!$G$301</definedName>
    <definedName name="pIns_PT_VTAR_E_COLDVSNA">'ХВС. Т-подкл'!$T$63</definedName>
    <definedName name="pIns_PT_VTAR_E_COLDVSNA_OFFER_1">Предложение!$G$69</definedName>
    <definedName name="pIns_PT_VTAR_E_COLDVSNA_OFFER_2">Предложение!$G$136</definedName>
    <definedName name="pIns_PT_VTAR_E_COLDVSNA_OFFER_3">Предложение!$G$201</definedName>
    <definedName name="pIns_PT_VTAR_E_COLDVSNA_OFFER_4">Предложение!$G$266</definedName>
    <definedName name="pIns_PT_VTAR_E_COLDVSNA_OFFER_5">Предложение!$G$331</definedName>
    <definedName name="pIns_PT_VTAR_E1">'ТС. Т-передача ТЭ'!$T$57</definedName>
    <definedName name="pIns_PT_VTAR_E1_OFFER_1">Предложение!$G$42</definedName>
    <definedName name="pIns_PT_VTAR_E1_OFFER_2">Предложение!$G$109</definedName>
    <definedName name="pIns_PT_VTAR_E1_OFFER_3">Предложение!$G$174</definedName>
    <definedName name="pIns_PT_VTAR_E1_OFFER_4">Предложение!$G$239</definedName>
    <definedName name="pIns_PT_VTAR_E1_OFFER_5">Предложение!$G$304</definedName>
    <definedName name="pIns_PT_VTAR_E2">'ТС. Т-передача ТН'!$T$57</definedName>
    <definedName name="pIns_PT_VTAR_E2_OFFER_1">Предложение!$G$45</definedName>
    <definedName name="pIns_PT_VTAR_E2_OFFER_2">Предложение!$G$112</definedName>
    <definedName name="pIns_PT_VTAR_E2_OFFER_3">Предложение!$G$177</definedName>
    <definedName name="pIns_PT_VTAR_E2_OFFER_4">Предложение!$G$242</definedName>
    <definedName name="pIns_PT_VTAR_E2_OFFER_5">Предложение!$G$307</definedName>
    <definedName name="pIns_PT_VTAR_F">'ТС. Резерв мощности'!$T$57</definedName>
    <definedName name="pIns_PT_VTAR_F_OFFER_1">Предложение!$G$48</definedName>
    <definedName name="pIns_PT_VTAR_F_OFFER_2">Предложение!$G$115</definedName>
    <definedName name="pIns_PT_VTAR_F_OFFER_3">Предложение!$G$180</definedName>
    <definedName name="pIns_PT_VTAR_F_OFFER_4">Предложение!$G$245</definedName>
    <definedName name="pIns_PT_VTAR_F_OFFER_5">Предложение!$G$310</definedName>
    <definedName name="pIns_PT_VTAR_G">'ТС. Т-подкл'!$T$62</definedName>
    <definedName name="pIns_PT_VTAR_G_OFFER_1">Предложение!$G$51</definedName>
    <definedName name="pIns_PT_VTAR_G_OFFER_2">Предложение!$G$118</definedName>
    <definedName name="pIns_PT_VTAR_G_OFFER_3">Предложение!$G$183</definedName>
    <definedName name="pIns_PT_VTAR_G_OFFER_4">Предложение!$G$248</definedName>
    <definedName name="pIns_PT_VTAR_G_OFFER_5">Предложение!$G$313</definedName>
    <definedName name="pIns_PT_VTAR_H">'ТС. Т-подкл(инд)'!$T$56</definedName>
    <definedName name="pIns_PT_VTAR_H_OFFER_1">Предложение!$G$54</definedName>
    <definedName name="pIns_PT_VTAR_H_OFFER_2">Предложение!$G$121</definedName>
    <definedName name="pIns_PT_VTAR_H_OFFER_3">Предложение!$G$186</definedName>
    <definedName name="pIns_PT_VTAR_H_OFFER_4">Предложение!$G$251</definedName>
    <definedName name="pIns_PT_VTAR_H_OFFER_5">Предложение!$G$316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ТСО'!$BR$39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Предложение!$L$350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Предложение!$L$350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ТСО'!$BR$58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REESTR_IP!$A$2:$I$10</definedName>
    <definedName name="VD_LIST">REESTR_VED!$A$2:$B$11</definedName>
    <definedName name="VD_ID_LIST">REESTR_VED!$A$2:$A$11</definedName>
    <definedName name="VD_NAME_LIST">REESTR_VED!$B$2:$B$11</definedName>
    <definedName name="et_B_FHD20_1">et_union_hor!$127:$135</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<sst xmlns="http://schemas.openxmlformats.org/spreadsheetml/2006/main" count="14551" uniqueCount="3707">
  <si>
    <t xml:space="preserve"> (требуется обновление)</t>
  </si>
  <si>
    <t>Код отчёта: PP110.OPEN.INFO.REQUEST.HEAT.EIAS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</si>
  <si>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</si>
  <si>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</si>
  <si>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</si>
  <si>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</si>
  <si>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</si>
  <si>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</si>
  <si>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</si>
  <si>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</si>
  <si>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</si>
  <si>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</si>
  <si>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</si>
  <si>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</si>
  <si>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</si>
  <si>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</si>
  <si>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</si>
  <si>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</si>
  <si>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</si>
  <si>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</si>
  <si>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</si>
  <si>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</si>
  <si>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</si>
  <si>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</si>
  <si>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</si>
  <si>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</si>
  <si>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</si>
  <si>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</si>
  <si>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</si>
  <si>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</si>
  <si>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</si>
  <si>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</si>
  <si>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</si>
  <si>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</si>
  <si>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</si>
  <si>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</si>
  <si>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</si>
  <si>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</si>
  <si>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</si>
  <si>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</si>
  <si>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</si>
  <si>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26.04.2024</t>
  </si>
  <si>
    <t>вх. О-1314 (исх.№1421 от 26.04.2024)</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</si>
  <si>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</si>
  <si>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</si>
  <si>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</si>
  <si>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вх. О-1106 (исх. №382 от 29.04.2026)</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</si>
  <si>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</si>
  <si>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</si>
  <si>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</si>
  <si>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</si>
  <si>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</si>
  <si>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</si>
  <si>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</si>
  <si>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</si>
  <si>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</si>
  <si>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</si>
  <si>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</si>
  <si>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</si>
  <si>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</si>
  <si>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</si>
  <si>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</si>
  <si>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</si>
  <si>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</si>
  <si>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</si>
  <si>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</si>
  <si>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</si>
  <si>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</si>
  <si>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</si>
  <si>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</si>
  <si>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</si>
  <si>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</si>
  <si>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</si>
  <si>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</si>
  <si>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</si>
  <si>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</si>
  <si>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</si>
  <si>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</si>
  <si>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</si>
  <si>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</si>
  <si>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</si>
  <si>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</si>
  <si>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</si>
  <si>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</si>
  <si>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</si>
  <si>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</si>
  <si>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</si>
  <si>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</si>
  <si>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</si>
  <si>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</si>
  <si>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</si>
  <si>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</si>
  <si>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</si>
  <si>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</si>
  <si>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</si>
  <si>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</si>
  <si>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</si>
  <si>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</si>
  <si>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</si>
  <si>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</si>
  <si>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</si>
  <si>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</si>
  <si>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139</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</si>
  <si>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</si>
  <si>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</si>
  <si>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</si>
  <si>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</si>
  <si>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</si>
  <si>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</si>
  <si>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</si>
  <si>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</si>
  <si>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</si>
  <si>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</si>
  <si>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</si>
  <si>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</si>
  <si>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</si>
  <si>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</si>
  <si>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</si>
  <si>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</si>
  <si>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</si>
  <si>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</si>
  <si>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</si>
  <si>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</si>
  <si>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</si>
  <si>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</si>
  <si>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</si>
  <si>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</si>
  <si>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</si>
  <si>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</si>
  <si>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</si>
  <si>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</si>
  <si>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</si>
  <si>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</si>
  <si>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</si>
  <si>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</si>
  <si>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</si>
  <si>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</si>
  <si>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</si>
  <si>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</si>
  <si>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</si>
  <si>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</si>
  <si>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</si>
  <si>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</si>
  <si>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</si>
  <si>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</si>
  <si>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</si>
  <si>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</si>
  <si>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</si>
  <si>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</si>
  <si>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</si>
  <si>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</si>
  <si>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</si>
  <si>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</si>
  <si>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</si>
  <si>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</si>
  <si>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</si>
  <si>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</si>
  <si>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</si>
  <si>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</si>
  <si>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</si>
  <si>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</si>
  <si>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</si>
  <si>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</si>
  <si>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Тариф на тепловую энергию</t>
  </si>
  <si>
    <t>ЦС ТС г.Волгореченск</t>
  </si>
  <si>
    <t>источник тепловой энергии - КГРЭС</t>
  </si>
  <si>
    <t>"4190068"; "4190070"</t>
  </si>
  <si>
    <t>pIns_PT_VTAR_B</t>
  </si>
  <si>
    <t>pt_ntar_2</t>
  </si>
  <si>
    <t>pt_ter_2</t>
  </si>
  <si>
    <t>pt_cs_2</t>
  </si>
  <si>
    <t>pt_ist_te_2</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</si>
  <si>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</si>
  <si>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</si>
  <si>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</si>
  <si>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</si>
  <si>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</si>
  <si>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</si>
  <si>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</si>
  <si>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</si>
  <si>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</si>
  <si>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</si>
  <si>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</si>
  <si>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</si>
  <si>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</si>
  <si>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</si>
  <si>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</si>
  <si>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</si>
  <si>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</si>
  <si>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</si>
  <si>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</si>
  <si>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</si>
  <si>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</si>
  <si>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</si>
  <si>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</si>
  <si>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</si>
  <si>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</si>
  <si>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</si>
  <si>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</si>
  <si>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</si>
  <si>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</si>
  <si>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</si>
  <si>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</si>
  <si>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</si>
  <si>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</si>
  <si>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</si>
  <si>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</si>
  <si>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</si>
  <si>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</si>
  <si>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</si>
  <si>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</si>
  <si>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</si>
  <si>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</si>
  <si>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</si>
  <si>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</si>
  <si>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</si>
  <si>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</si>
  <si>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</si>
  <si>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</si>
  <si>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</si>
  <si>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</si>
  <si>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</si>
  <si>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</si>
  <si>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</si>
  <si>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</si>
  <si>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</si>
  <si>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</si>
  <si>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</si>
  <si>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</si>
  <si>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</si>
  <si>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</si>
  <si>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</si>
  <si>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</si>
  <si>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</si>
  <si>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</si>
  <si>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</si>
  <si>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</si>
  <si>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</si>
  <si>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</si>
  <si>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</si>
  <si>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</si>
  <si>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</si>
  <si>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</si>
  <si>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</si>
  <si>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</si>
  <si>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</si>
  <si>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</si>
  <si>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</si>
  <si>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</si>
  <si>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</si>
  <si>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</si>
  <si>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</si>
  <si>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</si>
  <si>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</si>
  <si>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</si>
  <si>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</si>
  <si>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</si>
  <si>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</si>
  <si>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</si>
  <si>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</si>
  <si>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</si>
  <si>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</si>
  <si>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</si>
  <si>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</si>
  <si>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</si>
  <si>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</si>
  <si>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</si>
  <si>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</si>
  <si>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</si>
  <si>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</si>
  <si>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</si>
  <si>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</si>
  <si>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</si>
  <si>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</si>
  <si>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</si>
  <si>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</si>
  <si>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</si>
  <si>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</si>
  <si>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</si>
  <si>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</si>
  <si>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</si>
  <si>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</si>
  <si>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</si>
  <si>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</si>
  <si>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</si>
  <si>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</si>
  <si>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</si>
  <si>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</si>
  <si>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</si>
  <si>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</si>
  <si>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</si>
  <si>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</si>
  <si>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</si>
  <si>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</si>
  <si>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</si>
  <si>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</si>
  <si>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</si>
  <si>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</si>
  <si>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</si>
  <si>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</si>
  <si>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</si>
  <si>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</si>
  <si>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</si>
  <si>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</si>
  <si>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</si>
  <si>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</si>
  <si>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</si>
  <si>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</si>
  <si>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</si>
  <si>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</si>
  <si>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</si>
  <si>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</si>
  <si>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</si>
  <si>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</si>
  <si>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</si>
  <si>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</si>
  <si>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</si>
  <si>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</si>
  <si>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</si>
  <si>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</si>
  <si>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</si>
  <si>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</si>
  <si>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</si>
  <si>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</si>
  <si>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</si>
  <si>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</si>
  <si>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</si>
  <si>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</si>
  <si>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</si>
  <si>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</si>
  <si>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</si>
  <si>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</si>
  <si>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</si>
  <si>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</si>
  <si>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</si>
  <si>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</si>
  <si>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</si>
  <si>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</si>
  <si>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</si>
  <si>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</si>
  <si>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</si>
  <si>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</si>
  <si>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</si>
  <si>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</si>
  <si>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</si>
  <si>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</si>
  <si>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</si>
  <si>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</si>
  <si>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</si>
  <si>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</si>
  <si>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</si>
  <si>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</si>
  <si>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</si>
  <si>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</si>
  <si>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</si>
  <si>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</si>
  <si>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</si>
  <si>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</si>
  <si>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</si>
  <si>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</si>
  <si>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</si>
  <si>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</si>
  <si>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</si>
  <si>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</si>
  <si>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</si>
  <si>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</si>
  <si>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</si>
  <si>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</si>
  <si>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</si>
  <si>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</si>
  <si>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</si>
  <si>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</si>
  <si>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</si>
  <si>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</si>
  <si>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</si>
  <si>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</si>
  <si>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</si>
  <si>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</si>
  <si>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</si>
  <si>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</si>
  <si>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</si>
  <si>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</si>
  <si>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</si>
  <si>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</si>
  <si>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</si>
  <si>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</si>
  <si>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</si>
  <si>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</si>
  <si>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</si>
  <si>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</si>
  <si>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</si>
  <si>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</si>
  <si>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</si>
  <si>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</si>
  <si>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</si>
  <si>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</si>
  <si>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</si>
  <si>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</si>
  <si>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</si>
  <si>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</si>
  <si>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</si>
  <si>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</si>
  <si>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</si>
  <si>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</si>
  <si>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</si>
  <si>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</si>
  <si>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</si>
  <si>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</si>
  <si>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</si>
  <si>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</si>
  <si>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</si>
  <si>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</si>
  <si>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</si>
  <si>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</si>
  <si>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</si>
  <si>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</si>
  <si>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</si>
  <si>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</si>
  <si>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</si>
  <si>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</si>
  <si>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</si>
  <si>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</si>
  <si>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</si>
  <si>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</si>
  <si>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</si>
  <si>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</si>
  <si>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</si>
  <si>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</si>
  <si>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</si>
  <si>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</si>
  <si>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</si>
  <si>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</si>
  <si>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</si>
  <si>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</si>
  <si>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</si>
  <si>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</si>
  <si>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</si>
  <si>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</si>
  <si>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</si>
  <si>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</si>
  <si>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</si>
  <si>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</si>
  <si>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</si>
  <si>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</si>
  <si>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</si>
  <si>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</si>
  <si>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</si>
  <si>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</si>
  <si>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</si>
  <si>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</si>
  <si>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</si>
  <si>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</si>
  <si>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</si>
  <si>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</si>
  <si>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t>
  </si>
  <si>
    <t>Период действия</t>
  </si>
  <si>
    <t>без дифференциации</t>
  </si>
  <si>
    <t>вода</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</si>
  <si>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</si>
  <si>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</si>
  <si>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</si>
  <si>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</si>
  <si>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</si>
  <si>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</si>
  <si>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</si>
  <si>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</si>
  <si>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</si>
  <si>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</si>
  <si>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</si>
  <si>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</si>
  <si>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</si>
  <si>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</si>
  <si>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</si>
  <si>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</si>
  <si>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</si>
  <si>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</si>
  <si>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</si>
  <si>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</si>
  <si>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</si>
  <si>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</si>
  <si>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</si>
  <si>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</si>
  <si>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</si>
  <si>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</si>
  <si>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</si>
  <si>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</si>
  <si>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</si>
  <si>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</si>
  <si>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</si>
  <si>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</si>
  <si>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</si>
  <si>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</si>
  <si>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</si>
  <si>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</si>
  <si>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</si>
  <si>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</si>
  <si>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</si>
  <si>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</si>
  <si>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</si>
  <si>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</si>
  <si>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</si>
  <si>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</si>
  <si>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</si>
  <si>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</si>
  <si>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</si>
  <si>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</si>
  <si>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</si>
  <si>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</si>
  <si>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</si>
  <si>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</si>
  <si>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</si>
  <si>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</si>
  <si>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</si>
  <si>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</si>
  <si>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</si>
  <si>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</si>
  <si>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</si>
  <si>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</si>
  <si>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</si>
  <si>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</si>
  <si>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</si>
  <si>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</si>
  <si>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</si>
  <si>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</si>
  <si>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</si>
  <si>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</si>
  <si>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</si>
  <si>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</si>
  <si>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</si>
  <si>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</si>
  <si>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</si>
  <si>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</si>
  <si>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</si>
  <si>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</si>
  <si>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</si>
  <si>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</si>
  <si>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</si>
  <si>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</si>
  <si>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</si>
  <si>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</si>
  <si>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</si>
  <si>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</si>
  <si>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</si>
  <si>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</si>
  <si>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</si>
  <si>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</si>
  <si>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</si>
  <si>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</si>
  <si>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</si>
  <si>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</si>
  <si>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</si>
  <si>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</si>
  <si>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</si>
  <si>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</si>
  <si>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</si>
  <si>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</si>
  <si>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</si>
  <si>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</si>
  <si>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</si>
  <si>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</si>
  <si>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</si>
  <si>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</si>
  <si>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</si>
  <si>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</si>
  <si>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</si>
  <si>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</si>
  <si>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</si>
  <si>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</si>
  <si>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</si>
  <si>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</si>
  <si>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</si>
  <si>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</si>
  <si>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</si>
  <si>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</si>
  <si>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</si>
  <si>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</si>
  <si>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</si>
  <si>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</si>
  <si>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</si>
  <si>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</si>
  <si>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</si>
  <si>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</si>
  <si>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</si>
  <si>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</si>
  <si>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</si>
  <si>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</si>
  <si>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</si>
  <si>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</si>
  <si>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</si>
  <si>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</si>
  <si>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</si>
  <si>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</si>
  <si>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</si>
  <si>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</si>
  <si>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</si>
  <si>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</si>
  <si>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</si>
  <si>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</si>
  <si>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</si>
  <si>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</si>
  <si>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</si>
  <si>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</si>
  <si>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</si>
  <si>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</si>
  <si>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</si>
  <si>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</si>
  <si>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</si>
  <si>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</si>
  <si>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</si>
  <si>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</si>
  <si>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</si>
  <si>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</si>
  <si>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</si>
  <si>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</si>
  <si>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</si>
  <si>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</si>
  <si>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</si>
  <si>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</si>
  <si>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</si>
  <si>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</si>
  <si>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</si>
  <si>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</si>
  <si>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</si>
  <si>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</si>
  <si>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</si>
  <si>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</si>
  <si>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</si>
  <si>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</si>
  <si>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</si>
  <si>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</si>
  <si>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</si>
  <si>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</si>
  <si>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</si>
  <si>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</si>
  <si>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</si>
  <si>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</si>
  <si>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</si>
  <si>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</si>
  <si>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</si>
  <si>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</si>
  <si>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</si>
  <si>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</si>
  <si>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</si>
  <si>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</si>
  <si>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</si>
  <si>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</si>
  <si>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</si>
  <si>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</si>
  <si>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</si>
  <si>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</si>
  <si>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</si>
  <si>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</si>
  <si>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</si>
  <si>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</si>
  <si>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</si>
  <si>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</si>
  <si>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</si>
  <si>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</si>
  <si>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</si>
  <si>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</si>
  <si>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</si>
  <si>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</si>
  <si>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</si>
  <si>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</si>
  <si>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</si>
  <si>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</si>
  <si>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</si>
  <si>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</si>
  <si>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</si>
  <si>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</si>
  <si>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</si>
  <si>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</si>
  <si>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</si>
  <si>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</si>
  <si>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</si>
  <si>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</si>
  <si>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</si>
  <si>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</si>
  <si>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</si>
  <si>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</si>
  <si>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</si>
  <si>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</si>
  <si>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</si>
  <si>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</si>
  <si>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</si>
  <si>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</si>
  <si>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</si>
  <si>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</si>
  <si>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</si>
  <si>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</si>
  <si>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</si>
  <si>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</si>
  <si>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</si>
  <si>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</si>
  <si>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</si>
  <si>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</si>
  <si>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</si>
  <si>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</si>
  <si>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</si>
  <si>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</si>
  <si>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</si>
  <si>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</si>
  <si>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</si>
  <si>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</si>
  <si>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</si>
  <si>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</si>
  <si>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</si>
  <si>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</si>
  <si>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</si>
  <si>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</si>
  <si>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</si>
  <si>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</si>
  <si>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</si>
  <si>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</si>
  <si>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</si>
  <si>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</si>
  <si>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</si>
  <si>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</si>
  <si>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</si>
  <si>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</si>
  <si>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</si>
  <si>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</si>
  <si>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</si>
  <si>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</si>
  <si>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</si>
  <si>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</si>
  <si>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</si>
  <si>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</si>
  <si>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</si>
  <si>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</si>
  <si>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</si>
  <si>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</si>
  <si>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</si>
  <si>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</si>
  <si>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</si>
  <si>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</si>
  <si>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</si>
  <si>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</si>
  <si>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</si>
  <si>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</si>
  <si>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</si>
  <si>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</si>
  <si>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</si>
  <si>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</si>
  <si>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</si>
  <si>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</si>
  <si>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</si>
  <si>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</si>
  <si>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</si>
  <si>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</si>
  <si>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</si>
  <si>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</si>
  <si>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</si>
  <si>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</si>
  <si>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</si>
  <si>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</si>
  <si>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</si>
  <si>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</si>
  <si>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</si>
  <si>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</si>
  <si>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</si>
  <si>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</si>
  <si>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</si>
  <si>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</si>
  <si>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</si>
  <si>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</si>
  <si>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</si>
  <si>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</si>
  <si>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</si>
  <si>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</si>
  <si>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</si>
  <si>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</si>
  <si>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</si>
  <si>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</si>
  <si>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</si>
  <si>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</si>
  <si>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</si>
  <si>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</si>
  <si>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</si>
  <si>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</si>
  <si>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</si>
  <si>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</si>
  <si>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</si>
  <si>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</si>
  <si>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</si>
  <si>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</si>
  <si>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</si>
  <si>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</si>
  <si>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</si>
  <si>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</si>
  <si>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</si>
  <si>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</si>
  <si>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</si>
  <si>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</si>
  <si>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</si>
  <si>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</si>
  <si>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</si>
  <si>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</si>
  <si>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</si>
  <si>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</si>
  <si>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</si>
  <si>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</si>
  <si>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</si>
  <si>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</si>
  <si>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</si>
  <si>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</si>
  <si>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</si>
  <si>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</si>
  <si>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</si>
  <si>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</si>
  <si>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</si>
  <si>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</si>
  <si>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</si>
  <si>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</si>
  <si>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</si>
  <si>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</si>
  <si>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</si>
  <si>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</si>
  <si>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</si>
  <si>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</si>
  <si>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</si>
  <si>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</si>
  <si>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</si>
  <si>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</si>
  <si>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</si>
  <si>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</si>
  <si>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</si>
  <si>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</si>
  <si>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</si>
  <si>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</si>
  <si>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</si>
  <si>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</si>
  <si>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</si>
  <si>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</si>
  <si>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</si>
  <si>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</si>
  <si>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</si>
  <si>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</si>
  <si>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</si>
  <si>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</si>
  <si>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</si>
  <si>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</si>
  <si>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</si>
  <si>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</si>
  <si>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</si>
  <si>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</si>
  <si>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</si>
  <si>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</si>
  <si>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</si>
  <si>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</si>
  <si>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</si>
  <si>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</si>
  <si>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</si>
  <si>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</si>
  <si>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</si>
  <si>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</si>
  <si>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</si>
  <si>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</si>
  <si>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</si>
  <si>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</si>
  <si>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</si>
  <si>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</si>
  <si>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</si>
  <si>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</si>
  <si>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</si>
  <si>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</si>
  <si>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</si>
  <si>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</si>
  <si>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</si>
  <si>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</si>
  <si>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</si>
  <si>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</si>
  <si>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</si>
  <si>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</si>
  <si>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</si>
  <si>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</si>
  <si>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</si>
  <si>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</si>
  <si>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</si>
  <si>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</si>
  <si>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</si>
  <si>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</si>
  <si>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</si>
  <si>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</si>
  <si>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</si>
  <si>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</si>
  <si>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</si>
  <si>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</si>
  <si>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</si>
  <si>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</si>
  <si>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</si>
  <si>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</si>
  <si>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</si>
  <si>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</si>
  <si>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</si>
  <si>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</si>
  <si>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</si>
  <si>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</si>
  <si>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</si>
  <si>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</si>
  <si>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</si>
  <si>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</si>
  <si>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</si>
  <si>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</si>
  <si>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</si>
  <si>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</si>
  <si>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</si>
  <si>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</si>
  <si>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</si>
  <si>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</si>
  <si>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</si>
  <si>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</si>
  <si>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</si>
  <si>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</si>
  <si>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</si>
  <si>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</si>
  <si>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</si>
  <si>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</si>
  <si>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</si>
  <si>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</si>
  <si>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</si>
  <si>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</si>
  <si>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</si>
  <si>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</si>
  <si>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</si>
  <si>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</si>
  <si>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</si>
  <si>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</si>
  <si>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</si>
  <si>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</si>
  <si>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</si>
  <si>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</si>
  <si>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</si>
  <si>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</si>
  <si>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</si>
  <si>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</si>
  <si>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</si>
  <si>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</si>
  <si>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</si>
  <si>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</si>
  <si>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</si>
  <si>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</si>
  <si>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</si>
  <si>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</si>
  <si>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</si>
  <si>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</si>
  <si>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</si>
  <si>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</si>
  <si>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</si>
  <si>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</si>
  <si>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</si>
  <si>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</si>
  <si>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</si>
  <si>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</si>
  <si>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</si>
  <si>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</si>
  <si>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</si>
  <si>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</si>
  <si>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</si>
  <si>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</si>
  <si>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</si>
  <si>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</si>
  <si>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</si>
  <si>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</si>
  <si>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</si>
  <si>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</si>
  <si>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</si>
  <si>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</si>
  <si>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</si>
  <si>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</si>
  <si>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</si>
  <si>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</si>
  <si>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</si>
  <si>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</si>
  <si>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</si>
  <si>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</si>
  <si>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</si>
  <si>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</si>
  <si>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</si>
  <si>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</si>
  <si>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</si>
  <si>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</si>
  <si>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</si>
  <si>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</si>
  <si>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</si>
  <si>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</si>
  <si>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</si>
  <si>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</si>
  <si>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</si>
  <si>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</si>
  <si>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</si>
  <si>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</si>
  <si>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</si>
  <si>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</si>
  <si>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</si>
  <si>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</si>
  <si>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</si>
  <si>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</si>
  <si>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</si>
  <si>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</si>
  <si>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</si>
  <si>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</si>
  <si>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</si>
  <si>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</si>
  <si>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</si>
  <si>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</si>
  <si>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</si>
  <si>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</si>
  <si>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</si>
  <si>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</si>
  <si>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</si>
  <si>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</si>
  <si>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</si>
  <si>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</si>
  <si>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</si>
  <si>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</si>
  <si>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</si>
  <si>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</si>
  <si>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</si>
  <si>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</si>
  <si>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</si>
  <si>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</si>
  <si>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</si>
  <si>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</si>
  <si>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</si>
  <si>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</si>
  <si>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</si>
  <si>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</si>
  <si>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</si>
  <si>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</si>
  <si>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</si>
  <si>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</si>
  <si>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</si>
  <si>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</si>
  <si>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</si>
  <si>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</si>
  <si>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</si>
  <si>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</si>
  <si>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</si>
  <si>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</si>
  <si>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</si>
  <si>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</si>
  <si>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</si>
  <si>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</si>
  <si>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</si>
  <si>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</si>
  <si>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</si>
  <si>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</si>
  <si>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</si>
  <si>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</si>
  <si>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</si>
  <si>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</si>
  <si>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</si>
  <si>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</si>
  <si>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</si>
  <si>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</si>
  <si>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</si>
  <si>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</si>
  <si>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</si>
  <si>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</si>
  <si>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</si>
  <si>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</si>
  <si>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</si>
  <si>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</si>
  <si>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</si>
  <si>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</si>
  <si>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</si>
  <si>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</si>
  <si>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</si>
  <si>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</si>
  <si>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</si>
  <si>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</si>
  <si>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</si>
  <si>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</si>
  <si>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</si>
  <si>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</si>
  <si>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</si>
  <si>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</si>
  <si>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</si>
  <si>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</si>
  <si>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</si>
  <si>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</si>
  <si>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</si>
  <si>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</si>
  <si>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</si>
  <si>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</si>
  <si>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</si>
  <si>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</si>
  <si>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</si>
  <si>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</si>
  <si>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</si>
  <si>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</si>
  <si>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</si>
  <si>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</si>
  <si>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</si>
  <si>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</si>
  <si>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</si>
  <si>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</si>
  <si>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</si>
  <si>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</si>
  <si>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</si>
  <si>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</si>
  <si>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</si>
  <si>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</si>
  <si>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</si>
  <si>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</si>
  <si>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</si>
  <si>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</si>
  <si>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</si>
  <si>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</si>
  <si>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</si>
  <si>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</si>
  <si>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</si>
  <si>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</si>
  <si>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</si>
  <si>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</si>
  <si>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</si>
  <si>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</si>
  <si>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</si>
  <si>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</si>
  <si>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</si>
  <si>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</si>
  <si>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</si>
  <si>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</si>
  <si>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</si>
  <si>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</si>
  <si>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</si>
  <si>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</si>
  <si>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</si>
  <si>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</si>
  <si>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</si>
  <si>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</si>
  <si>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</si>
  <si>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</si>
  <si>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</si>
  <si>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</si>
  <si>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</si>
  <si>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</si>
  <si>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</si>
  <si>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</si>
  <si>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</si>
  <si>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</si>
  <si>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</si>
  <si>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</si>
  <si>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</si>
  <si>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</si>
  <si>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</si>
  <si>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</si>
  <si>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</si>
  <si>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</si>
  <si>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</si>
  <si>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</si>
  <si>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</si>
  <si>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</si>
  <si>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</si>
  <si>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</si>
  <si>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</si>
  <si>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</si>
  <si>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индексации установленных тарифов</t>
  </si>
  <si>
    <t>https://portal.eias.ru/Portal/DownloadPage.aspx?type=12&amp;guid=ae16bfc7-f8a6-49e4-9f7d-b3d3b60dc7c4</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</si>
  <si>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</si>
  <si>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</si>
  <si>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</si>
  <si>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01.01.2025</t>
  </si>
  <si>
    <t>31.12.2025</t>
  </si>
  <si>
    <t>01.01.2026</t>
  </si>
  <si>
    <t>31.12.2026</t>
  </si>
  <si>
    <t>01.01.2027</t>
  </si>
  <si>
    <t>31.12.2027</t>
  </si>
  <si>
    <t>01.01.2028</t>
  </si>
  <si>
    <t>31.12.2028</t>
  </si>
  <si>
    <t>01.01.2029</t>
  </si>
  <si>
    <t>31.12.2029</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</si>
  <si>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</si>
  <si>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</si>
  <si>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</si>
  <si>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</si>
  <si>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</si>
  <si>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</si>
  <si>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</si>
  <si>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</si>
  <si>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</si>
  <si>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</si>
  <si>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</si>
  <si>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</si>
  <si>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</si>
  <si>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</si>
  <si>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</si>
  <si>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</si>
  <si>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</si>
  <si>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</si>
  <si>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</si>
  <si>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</si>
  <si>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</si>
  <si>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</si>
  <si>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</si>
  <si>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</si>
  <si>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</si>
  <si>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</si>
  <si>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</si>
  <si>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</si>
  <si>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</si>
  <si>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</si>
  <si>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</si>
  <si>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</si>
  <si>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</si>
  <si>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</si>
  <si>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</si>
  <si>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</si>
  <si>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</si>
  <si>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</si>
  <si>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</si>
  <si>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</si>
  <si>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</si>
  <si>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</si>
  <si>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</si>
  <si>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</si>
  <si>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</si>
  <si>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</si>
  <si>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</si>
  <si>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</si>
  <si>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</si>
  <si>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</si>
  <si>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</si>
  <si>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</si>
  <si>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</si>
  <si>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</si>
  <si>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</si>
  <si>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</si>
  <si>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</si>
  <si>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</si>
  <si>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</si>
  <si>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</si>
  <si>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</si>
  <si>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</si>
  <si>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</si>
  <si>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</si>
  <si>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</si>
  <si>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</si>
  <si>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первичное раскрытие информации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</si>
  <si>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</si>
  <si>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</si>
  <si>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</si>
  <si>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</si>
  <si>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</si>
  <si>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</si>
  <si>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</si>
  <si>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</si>
  <si>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</si>
  <si>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</si>
  <si>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</si>
  <si>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</si>
  <si>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</si>
  <si>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</si>
  <si>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</si>
  <si>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</si>
  <si>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</si>
  <si>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</si>
  <si>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</si>
  <si>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</si>
  <si>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</si>
  <si>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</si>
  <si>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Передача</t>
  </si>
  <si>
    <t>пар</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</si>
  <si>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</si>
  <si>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</si>
  <si>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</si>
  <si>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</si>
  <si>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</si>
  <si>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</si>
  <si>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</si>
  <si>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</si>
  <si>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</si>
  <si>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</si>
  <si>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</si>
  <si>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</si>
  <si>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</si>
  <si>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</si>
  <si>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</si>
  <si>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</si>
  <si>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</si>
  <si>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</si>
  <si>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</si>
  <si>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</si>
  <si>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</si>
  <si>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</si>
  <si>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</si>
  <si>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</si>
  <si>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</si>
  <si>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</si>
  <si>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</si>
  <si>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</si>
  <si>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</si>
  <si>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</si>
  <si>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</si>
  <si>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</si>
  <si>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</si>
  <si>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</si>
  <si>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</si>
  <si>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</si>
  <si>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</si>
  <si>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</si>
  <si>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</si>
  <si>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</si>
  <si>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</si>
  <si>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</si>
  <si>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</si>
  <si>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</si>
  <si>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</si>
  <si>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</si>
  <si>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</si>
  <si>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</si>
  <si>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</si>
  <si>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</si>
  <si>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</si>
  <si>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</si>
  <si>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</si>
  <si>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</si>
  <si>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</si>
  <si>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</si>
  <si>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</si>
  <si>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</si>
  <si>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</si>
  <si>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</si>
  <si>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</si>
  <si>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</si>
  <si>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</si>
  <si>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</si>
  <si>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</si>
  <si>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</si>
  <si>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</si>
  <si>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</si>
  <si>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</si>
  <si>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</si>
  <si>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</si>
  <si>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</si>
  <si>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</si>
  <si>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</si>
  <si>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</si>
  <si>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</si>
  <si>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</si>
  <si>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</si>
  <si>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</si>
  <si>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</si>
  <si>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</si>
  <si>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</si>
  <si>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</si>
  <si>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</si>
  <si>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</si>
  <si>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</si>
  <si>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</si>
  <si>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</si>
  <si>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</si>
  <si>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</si>
  <si>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</si>
  <si>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</si>
  <si>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</si>
  <si>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</si>
  <si>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</si>
  <si>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</si>
  <si>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</si>
  <si>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</si>
  <si>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</si>
  <si>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</si>
  <si>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</si>
  <si>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</si>
  <si>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</si>
  <si>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</si>
  <si>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</si>
  <si>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</si>
  <si>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</si>
  <si>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</si>
  <si>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</si>
  <si>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</si>
  <si>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</si>
  <si>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</si>
  <si>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</si>
  <si>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</si>
  <si>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</si>
  <si>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</si>
  <si>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</si>
  <si>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</si>
  <si>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</si>
  <si>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</si>
  <si>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</si>
  <si>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</si>
  <si>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</si>
  <si>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</si>
  <si>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</si>
  <si>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</si>
  <si>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</si>
  <si>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</si>
  <si>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</si>
  <si>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</si>
  <si>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</si>
  <si>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</si>
  <si>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</si>
  <si>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</si>
  <si>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</si>
  <si>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</si>
  <si>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</si>
  <si>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</si>
  <si>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</si>
  <si>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</si>
  <si>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</si>
  <si>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</si>
  <si>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</si>
  <si>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</si>
  <si>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</si>
  <si>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</si>
  <si>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</si>
  <si>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</si>
  <si>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</si>
  <si>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</si>
  <si>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</si>
  <si>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</si>
  <si>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</si>
  <si>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</si>
  <si>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</si>
  <si>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</si>
  <si>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</si>
  <si>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</si>
  <si>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</si>
  <si>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</si>
  <si>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</si>
  <si>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</si>
  <si>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</si>
  <si>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</si>
  <si>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</si>
  <si>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</si>
  <si>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</si>
  <si>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</si>
  <si>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</si>
  <si>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</si>
  <si>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</si>
  <si>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</si>
  <si>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</si>
  <si>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</si>
  <si>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</si>
  <si>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</si>
  <si>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</si>
  <si>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</si>
  <si>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</si>
  <si>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</si>
  <si>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</si>
  <si>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</si>
  <si>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</si>
  <si>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</si>
  <si>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</si>
  <si>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</si>
  <si>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</si>
  <si>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</si>
  <si>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</si>
  <si>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</si>
  <si>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</si>
  <si>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</si>
  <si>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</si>
  <si>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</si>
  <si>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</si>
  <si>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</si>
  <si>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</si>
  <si>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</si>
  <si>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</si>
  <si>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</si>
  <si>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</si>
  <si>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</si>
  <si>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</si>
  <si>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</si>
  <si>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</si>
  <si>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</si>
  <si>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</si>
  <si>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</si>
  <si>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</si>
  <si>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</si>
  <si>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</si>
  <si>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</si>
  <si>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</si>
  <si>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</si>
  <si>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</si>
  <si>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</si>
  <si>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</si>
  <si>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</si>
  <si>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</si>
  <si>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</si>
  <si>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</si>
  <si>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</si>
  <si>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</si>
  <si>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</si>
  <si>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</si>
  <si>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</si>
  <si>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</si>
  <si>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</si>
  <si>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</si>
  <si>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</si>
  <si>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</si>
  <si>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</si>
  <si>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</si>
  <si>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</si>
  <si>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</si>
  <si>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</si>
  <si>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</si>
  <si>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</si>
  <si>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</si>
  <si>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</si>
  <si>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</si>
  <si>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</si>
  <si>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</si>
  <si>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</si>
  <si>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</si>
  <si>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</si>
  <si>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</si>
  <si>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</si>
  <si>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</si>
  <si>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</si>
  <si>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</si>
  <si>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</si>
  <si>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</si>
  <si>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</si>
  <si>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</si>
  <si>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</si>
  <si>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</si>
  <si>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</si>
  <si>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</si>
  <si>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</si>
  <si>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</si>
  <si>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</si>
  <si>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</si>
  <si>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</si>
  <si>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</si>
  <si>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</si>
  <si>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</si>
  <si>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</si>
  <si>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</si>
  <si>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</si>
  <si>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</si>
  <si>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</si>
  <si>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</si>
  <si>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</si>
  <si>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</si>
  <si>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</si>
  <si>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</si>
  <si>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</si>
  <si>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</si>
  <si>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</si>
  <si>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</si>
  <si>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</si>
  <si>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</si>
  <si>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</si>
  <si>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</si>
  <si>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</si>
  <si>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</si>
  <si>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</si>
  <si>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</si>
  <si>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</si>
  <si>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</si>
  <si>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</si>
  <si>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</si>
  <si>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</si>
  <si>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</si>
  <si>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</si>
  <si>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</si>
  <si>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</si>
  <si>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</si>
  <si>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</si>
  <si>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</si>
  <si>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</si>
  <si>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</si>
  <si>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</si>
  <si>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</si>
  <si>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</si>
  <si>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</si>
  <si>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</si>
  <si>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</si>
  <si>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</si>
  <si>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</si>
  <si>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</si>
  <si>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</si>
  <si>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</si>
  <si>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</si>
  <si>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</si>
  <si>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</si>
  <si>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</si>
  <si>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</si>
  <si>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</si>
  <si>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</si>
  <si>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</si>
  <si>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</si>
  <si>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</si>
  <si>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</si>
  <si>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</si>
  <si>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</si>
  <si>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</si>
  <si>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</si>
  <si>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</si>
  <si>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</si>
  <si>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</si>
  <si>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</si>
  <si>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</si>
  <si>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</si>
  <si>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</si>
  <si>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</si>
  <si>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</si>
  <si>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</si>
  <si>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</si>
  <si>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</si>
  <si>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</si>
  <si>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</si>
  <si>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</si>
  <si>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</si>
  <si>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</si>
  <si>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</si>
  <si>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</si>
  <si>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</si>
  <si>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</si>
  <si>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</si>
  <si>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</si>
  <si>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</si>
  <si>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</si>
  <si>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</si>
  <si>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</si>
  <si>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</si>
  <si>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</si>
  <si>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</si>
  <si>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</si>
  <si>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</si>
  <si>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</si>
  <si>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</si>
  <si>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</si>
  <si>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</si>
  <si>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</si>
  <si>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</si>
  <si>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</si>
  <si>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</si>
  <si>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</si>
  <si>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</si>
  <si>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</si>
  <si>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</si>
  <si>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</si>
  <si>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</si>
  <si>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</si>
  <si>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</si>
  <si>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</si>
  <si>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</si>
  <si>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</si>
  <si>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</si>
  <si>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</si>
  <si>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</si>
  <si>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</si>
  <si>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</si>
  <si>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</si>
  <si>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</si>
  <si>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</si>
  <si>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</si>
  <si>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</si>
  <si>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</si>
  <si>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</si>
  <si>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</si>
  <si>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</si>
  <si>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</si>
  <si>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</si>
  <si>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</si>
  <si>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</si>
  <si>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</si>
  <si>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</si>
  <si>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</si>
  <si>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</si>
  <si>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</si>
  <si>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</si>
  <si>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</si>
  <si>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</si>
  <si>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</si>
  <si>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</si>
  <si>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</si>
  <si>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</si>
  <si>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</si>
  <si>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</si>
  <si>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</si>
  <si>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</si>
  <si>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</si>
  <si>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</si>
  <si>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</si>
  <si>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</si>
  <si>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</si>
  <si>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</si>
  <si>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</si>
  <si>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</si>
  <si>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</si>
  <si>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</si>
  <si>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</si>
  <si>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</si>
  <si>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</si>
  <si>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</si>
  <si>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</si>
  <si>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</si>
  <si>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</si>
  <si>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</si>
  <si>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</si>
  <si>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</si>
  <si>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</si>
  <si>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</si>
  <si>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</si>
  <si>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</si>
  <si>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</si>
  <si>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</si>
  <si>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</si>
  <si>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</si>
  <si>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</si>
  <si>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</si>
  <si>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</si>
  <si>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</si>
  <si>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</si>
  <si>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</si>
  <si>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</si>
  <si>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</si>
  <si>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</si>
  <si>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</si>
  <si>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</si>
  <si>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</si>
  <si>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</si>
  <si>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</si>
  <si>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</si>
  <si>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</si>
  <si>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</si>
  <si>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</si>
  <si>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</si>
  <si>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</si>
  <si>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</si>
  <si>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</si>
  <si>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</si>
  <si>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</si>
  <si>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</si>
  <si>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</si>
  <si>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</si>
  <si>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</si>
  <si>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</si>
  <si>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</si>
  <si>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</si>
  <si>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</si>
  <si>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</si>
  <si>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</si>
  <si>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</si>
  <si>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</si>
  <si>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</si>
  <si>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</si>
  <si>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</si>
  <si>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</si>
  <si>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</si>
  <si>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</si>
  <si>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</si>
  <si>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</si>
  <si>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</si>
  <si>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</si>
  <si>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</si>
  <si>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</si>
  <si>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</si>
  <si>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</si>
  <si>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</si>
  <si>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</si>
  <si>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</si>
  <si>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</si>
  <si>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</si>
  <si>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</si>
  <si>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</si>
  <si>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</si>
  <si>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</si>
  <si>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</si>
  <si>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</si>
  <si>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</si>
  <si>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</si>
  <si>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</si>
  <si>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</si>
  <si>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</si>
  <si>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</si>
  <si>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</si>
  <si>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</si>
  <si>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</si>
  <si>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</si>
  <si>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</si>
  <si>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</si>
  <si>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</si>
  <si>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</si>
  <si>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</si>
  <si>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</si>
  <si>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</si>
  <si>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</si>
  <si>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</si>
  <si>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</si>
  <si>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</si>
  <si>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</si>
  <si>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</si>
  <si>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</si>
  <si>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</si>
  <si>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</si>
  <si>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</si>
  <si>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</si>
  <si>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</si>
  <si>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</si>
  <si>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</si>
  <si>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</si>
  <si>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</si>
  <si>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</si>
  <si>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</si>
  <si>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</si>
  <si>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</si>
  <si>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</si>
  <si>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</si>
  <si>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</si>
  <si>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</si>
  <si>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</si>
  <si>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</si>
  <si>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</si>
  <si>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</si>
  <si>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</si>
  <si>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</si>
  <si>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</si>
  <si>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</si>
  <si>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</si>
  <si>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</si>
  <si>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</si>
  <si>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</si>
  <si>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</si>
  <si>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</si>
  <si>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</si>
  <si>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</si>
  <si>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</si>
  <si>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</si>
  <si>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</si>
  <si>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</si>
  <si>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</si>
  <si>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</si>
  <si>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</si>
  <si>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</si>
  <si>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</si>
  <si>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</si>
  <si>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</si>
  <si>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</si>
  <si>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</si>
  <si>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</si>
  <si>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</si>
  <si>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</si>
  <si>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</si>
  <si>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</si>
  <si>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</si>
  <si>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</si>
  <si>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</si>
  <si>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</si>
  <si>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</si>
  <si>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</si>
  <si>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</si>
  <si>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</si>
  <si>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</si>
  <si>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</si>
  <si>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</si>
  <si>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</si>
  <si>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</si>
  <si>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</si>
  <si>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</si>
  <si>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</si>
  <si>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</si>
  <si>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</si>
  <si>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</si>
  <si>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</si>
  <si>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</si>
  <si>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</si>
  <si>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</si>
  <si>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</si>
  <si>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</si>
  <si>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</si>
  <si>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</si>
  <si>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</si>
  <si>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</si>
  <si>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</si>
  <si>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</si>
  <si>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</si>
  <si>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</si>
  <si>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</si>
  <si>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</si>
  <si>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</si>
  <si>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</si>
  <si>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</si>
  <si>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</si>
  <si>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</si>
  <si>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</si>
  <si>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</si>
  <si>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</si>
  <si>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</si>
  <si>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</si>
  <si>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</si>
  <si>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</si>
  <si>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</si>
  <si>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</si>
  <si>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</si>
  <si>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</si>
  <si>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</si>
  <si>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</si>
  <si>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</si>
  <si>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</si>
  <si>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</si>
  <si>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</si>
  <si>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</si>
  <si>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</si>
  <si>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</si>
  <si>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</si>
  <si>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</si>
  <si>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</si>
  <si>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</si>
  <si>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</si>
  <si>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</si>
  <si>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</si>
  <si>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</si>
  <si>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</si>
  <si>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</si>
  <si>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</si>
  <si>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</si>
  <si>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</si>
  <si>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</si>
  <si>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</si>
  <si>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</si>
  <si>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Заявление на установление (корректировку) тарифов на тепловую энергию для АО "РСП ТПК КГРЭС" на 2027-2029 гг. (в рамках долгосрочного периода регулирования 2025-2029 гг.) № 382 от 29.04.2026 "О предложении по корректировке тарифов на тепловую энергию на 2027-2029 гг." (вх. от 29.04.2026 №О-1106)</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</si>
  <si>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</si>
  <si>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</si>
  <si>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</si>
  <si>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</si>
  <si>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</si>
  <si>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</si>
  <si>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</si>
  <si>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</si>
  <si>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</si>
  <si>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</si>
  <si>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</si>
  <si>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</si>
  <si>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</si>
  <si>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</si>
  <si>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</si>
  <si>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</si>
  <si>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</si>
  <si>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</si>
  <si>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</si>
  <si>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</si>
  <si>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</si>
  <si>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</si>
  <si>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</si>
  <si>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</si>
  <si>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</si>
  <si>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</si>
  <si>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</si>
  <si>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</si>
  <si>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</si>
  <si>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</si>
  <si>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</si>
  <si>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</si>
  <si>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</si>
  <si>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</si>
  <si>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</si>
  <si>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</si>
  <si>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</si>
  <si>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</si>
  <si>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</si>
  <si>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</si>
  <si>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</si>
  <si>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</si>
  <si>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</si>
  <si>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</si>
  <si>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</si>
  <si>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</si>
  <si>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</si>
  <si>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</si>
  <si>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</si>
  <si>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</si>
  <si>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</si>
  <si>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</si>
  <si>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</si>
  <si>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</si>
  <si>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</si>
  <si>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</si>
  <si>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</si>
  <si>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</si>
  <si>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</si>
  <si>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</si>
  <si>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</si>
  <si>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</si>
  <si>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</si>
  <si>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</si>
  <si>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</si>
  <si>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</si>
  <si>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</si>
  <si>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</si>
  <si>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</si>
  <si>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</si>
  <si>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</si>
  <si>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</si>
  <si>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</si>
  <si>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</si>
  <si>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</si>
  <si>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</si>
  <si>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</si>
  <si>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</si>
  <si>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</si>
  <si>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</si>
  <si>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</si>
  <si>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</si>
  <si>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</si>
  <si>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</si>
  <si>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</si>
  <si>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</si>
  <si>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</si>
  <si>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</si>
  <si>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</si>
  <si>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</si>
  <si>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</si>
  <si>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</si>
  <si>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</si>
  <si>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</si>
  <si>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</si>
  <si>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</si>
  <si>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</si>
  <si>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</si>
  <si>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</si>
  <si>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</si>
  <si>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</si>
  <si>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</si>
  <si>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</si>
  <si>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</si>
  <si>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</si>
  <si>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</si>
  <si>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</si>
  <si>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</si>
  <si>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</si>
  <si>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</si>
  <si>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</si>
  <si>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</si>
  <si>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</si>
  <si>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</si>
  <si>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</si>
  <si>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</si>
  <si>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</si>
  <si>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</si>
  <si>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</si>
  <si>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</si>
  <si>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</si>
  <si>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</si>
  <si>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</si>
  <si>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</si>
  <si>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</si>
  <si>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</si>
  <si>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</si>
  <si>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</si>
  <si>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</si>
  <si>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</si>
  <si>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</si>
  <si>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</si>
  <si>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</si>
  <si>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</si>
  <si>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</si>
  <si>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</si>
  <si>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</si>
  <si>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</si>
  <si>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</si>
  <si>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</si>
  <si>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</si>
  <si>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</si>
  <si>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</si>
  <si>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</si>
  <si>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</si>
  <si>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</si>
  <si>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</si>
  <si>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</si>
  <si>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</si>
  <si>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</si>
  <si>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</si>
  <si>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</si>
  <si>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</si>
  <si>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</si>
  <si>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</si>
  <si>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</si>
  <si>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</si>
  <si>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</si>
  <si>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</si>
  <si>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</si>
  <si>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</si>
  <si>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</si>
  <si>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</si>
  <si>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</si>
  <si>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</si>
  <si>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</si>
  <si>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</si>
  <si>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</si>
  <si>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</si>
  <si>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</si>
  <si>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</si>
  <si>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</si>
  <si>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</si>
  <si>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</si>
  <si>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</si>
  <si>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</si>
  <si>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</si>
  <si>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</si>
  <si>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</si>
  <si>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</si>
  <si>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</si>
  <si>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</si>
  <si>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</si>
  <si>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</si>
  <si>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</si>
  <si>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</si>
  <si>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</si>
  <si>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</si>
  <si>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</si>
  <si>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</si>
  <si>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</si>
  <si>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</si>
  <si>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</si>
  <si>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</si>
  <si>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</si>
  <si>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</si>
  <si>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</si>
  <si>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</si>
  <si>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</si>
  <si>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</si>
  <si>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</si>
  <si>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</si>
  <si>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</si>
  <si>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</si>
  <si>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</si>
  <si>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</si>
  <si>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</si>
  <si>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</si>
  <si>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</si>
  <si>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</si>
  <si>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</si>
  <si>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</si>
  <si>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</si>
  <si>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</si>
  <si>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</si>
  <si>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</si>
  <si>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</si>
  <si>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</si>
  <si>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</si>
  <si>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</si>
  <si>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</si>
  <si>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</si>
  <si>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</si>
  <si>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</si>
  <si>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</si>
  <si>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</si>
  <si>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</si>
  <si>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</si>
  <si>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</si>
  <si>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</si>
  <si>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</si>
  <si>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</si>
  <si>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</si>
  <si>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</si>
  <si>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</si>
  <si>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</si>
  <si>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</si>
  <si>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</si>
  <si>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</si>
  <si>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</si>
  <si>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</si>
  <si>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</si>
  <si>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</si>
  <si>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</si>
  <si>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</si>
  <si>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</si>
  <si>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</si>
  <si>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</si>
  <si>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</si>
  <si>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</si>
  <si>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</si>
  <si>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</si>
  <si>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</si>
  <si>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</si>
  <si>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</si>
  <si>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</si>
  <si>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</si>
  <si>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</si>
  <si>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</si>
  <si>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</si>
  <si>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</si>
  <si>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</si>
  <si>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</si>
  <si>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</si>
  <si>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</si>
  <si>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</si>
  <si>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</si>
  <si>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</si>
  <si>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</si>
  <si>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</si>
  <si>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</si>
  <si>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</si>
  <si>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</si>
  <si>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</si>
  <si>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</si>
  <si>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</si>
  <si>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</si>
  <si>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</si>
  <si>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</si>
  <si>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</si>
  <si>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</si>
  <si>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</si>
  <si>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</si>
  <si>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</si>
  <si>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</si>
  <si>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</si>
  <si>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</si>
  <si>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</si>
  <si>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</si>
  <si>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</si>
  <si>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</si>
  <si>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</si>
  <si>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</si>
  <si>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</si>
  <si>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</si>
  <si>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</si>
  <si>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</si>
  <si>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</si>
  <si>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</si>
  <si>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</si>
  <si>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</si>
  <si>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</si>
  <si>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</si>
  <si>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</si>
  <si>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</si>
  <si>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</si>
  <si>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</si>
  <si>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</si>
  <si>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</si>
  <si>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</si>
  <si>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</si>
  <si>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</si>
  <si>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</si>
  <si>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</si>
  <si>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</si>
  <si>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</si>
  <si>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</si>
  <si>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</si>
  <si>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</si>
  <si>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</si>
  <si>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</si>
  <si>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</si>
  <si>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</si>
  <si>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</si>
  <si>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</si>
  <si>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</si>
  <si>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</si>
  <si>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</si>
  <si>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</si>
  <si>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</si>
  <si>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</si>
  <si>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</si>
  <si>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</si>
  <si>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</si>
  <si>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</si>
  <si>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</si>
  <si>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</si>
  <si>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</si>
  <si>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</si>
  <si>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</si>
  <si>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</si>
  <si>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</si>
  <si>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</si>
  <si>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</si>
  <si>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</si>
  <si>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</si>
  <si>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</si>
  <si>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</si>
  <si>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</si>
  <si>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</si>
  <si>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</si>
  <si>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</si>
  <si>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</si>
  <si>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</si>
  <si>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</si>
  <si>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</si>
  <si>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</si>
  <si>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</si>
  <si>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</si>
  <si>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</si>
  <si>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</si>
  <si>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</si>
  <si>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</si>
  <si>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</si>
  <si>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</si>
  <si>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</si>
  <si>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</si>
  <si>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</si>
  <si>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</si>
  <si>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</si>
  <si>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</si>
  <si>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</si>
  <si>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</si>
  <si>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</si>
  <si>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</si>
  <si>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</si>
  <si>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</si>
  <si>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</si>
  <si>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</si>
  <si>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</si>
  <si>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</si>
  <si>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</si>
  <si>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</si>
  <si>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</si>
  <si>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</si>
  <si>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</si>
  <si>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</si>
  <si>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</si>
  <si>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</si>
  <si>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</si>
  <si>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</si>
  <si>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</si>
  <si>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</si>
  <si>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</si>
  <si>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</si>
  <si>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</si>
  <si>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</si>
  <si>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</si>
  <si>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</si>
  <si>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</si>
  <si>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</si>
  <si>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</si>
  <si>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</si>
  <si>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</si>
  <si>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</si>
  <si>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</si>
  <si>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</si>
  <si>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</si>
  <si>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</si>
  <si>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</si>
  <si>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</si>
  <si>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</si>
  <si>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</si>
  <si>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</si>
  <si>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</si>
  <si>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</si>
  <si>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</si>
  <si>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</si>
  <si>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</si>
  <si>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</si>
  <si>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</si>
  <si>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</si>
  <si>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</si>
  <si>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</si>
  <si>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</si>
  <si>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</si>
  <si>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</si>
  <si>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22-11-2025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</si>
  <si>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</si>
  <si>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</si>
  <si>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</si>
  <si>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</si>
  <si>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</si>
  <si>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</si>
  <si>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</si>
  <si>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</si>
  <si>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</si>
  <si>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</si>
  <si>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</si>
  <si>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</si>
  <si>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</si>
  <si>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</si>
  <si>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</si>
  <si>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</si>
  <si>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</si>
  <si>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</si>
  <si>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</si>
  <si>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</si>
  <si>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</si>
  <si>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</si>
  <si>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</si>
  <si>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</si>
  <si>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</si>
  <si>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</si>
  <si>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</si>
  <si>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</si>
  <si>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</si>
  <si>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</si>
  <si>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</si>
  <si>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</si>
  <si>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</si>
  <si>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</si>
  <si>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</si>
  <si>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</si>
  <si>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</si>
  <si>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</si>
  <si>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</si>
  <si>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</si>
  <si>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</si>
  <si>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</si>
  <si>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</si>
  <si>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</si>
  <si>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</si>
  <si>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</si>
  <si>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</si>
  <si>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</si>
  <si>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</si>
  <si>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</si>
  <si>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</si>
  <si>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</si>
  <si>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</si>
  <si>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</si>
  <si>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</si>
  <si>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</si>
  <si>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</si>
  <si>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</si>
  <si>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</si>
  <si>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</si>
  <si>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</si>
  <si>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</si>
  <si>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</si>
  <si>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</si>
  <si>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</si>
  <si>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</si>
  <si>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</si>
  <si>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</si>
  <si>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</si>
  <si>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</si>
  <si>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</si>
  <si>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</si>
  <si>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</si>
  <si>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</si>
  <si>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</si>
  <si>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</si>
  <si>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</si>
  <si>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</si>
  <si>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</si>
  <si>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</si>
  <si>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</si>
  <si>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</si>
  <si>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</si>
  <si>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</si>
  <si>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</si>
  <si>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21-02-2025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</si>
  <si>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</si>
  <si>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</si>
  <si>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</si>
  <si>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</si>
  <si>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</si>
  <si>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</si>
  <si>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</si>
  <si>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</si>
  <si>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</si>
  <si>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</si>
  <si>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</si>
  <si>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</si>
  <si>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</si>
  <si>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</si>
  <si>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</si>
  <si>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</si>
  <si>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</si>
  <si>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</si>
  <si>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</si>
  <si>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</si>
  <si>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</si>
  <si>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</si>
  <si>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</si>
  <si>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</si>
  <si>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</si>
  <si>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</si>
  <si>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</si>
  <si>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</si>
  <si>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</si>
  <si>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</si>
  <si>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</si>
  <si>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</si>
  <si>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</si>
  <si>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</si>
  <si>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</si>
  <si>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</si>
  <si>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</si>
  <si>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</si>
  <si>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</si>
  <si>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</si>
  <si>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</si>
  <si>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</si>
  <si>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</si>
  <si>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</si>
  <si>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</si>
  <si>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</si>
  <si>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</si>
  <si>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</si>
  <si>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</si>
  <si>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</si>
  <si>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</si>
  <si>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</si>
  <si>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</si>
  <si>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</si>
  <si>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</si>
  <si>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</si>
  <si>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</si>
  <si>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</si>
  <si>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</si>
  <si>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</si>
  <si>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03-04-2026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</si>
  <si>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</si>
  <si>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</si>
  <si>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</si>
  <si>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</si>
  <si>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</si>
  <si>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</si>
  <si>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</si>
  <si>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</si>
  <si>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</si>
  <si>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</si>
  <si>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</si>
  <si>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</si>
  <si>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</si>
  <si>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</si>
  <si>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</si>
  <si>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</si>
  <si>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</si>
  <si>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</si>
  <si>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</si>
  <si>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</si>
  <si>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</si>
  <si>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</si>
  <si>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</si>
  <si>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</si>
  <si>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</si>
  <si>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</si>
  <si>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</si>
  <si>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</si>
  <si>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</si>
  <si>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</si>
  <si>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</si>
  <si>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</si>
  <si>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</si>
  <si>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</si>
  <si>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</si>
  <si>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</si>
  <si>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</si>
  <si>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</si>
  <si>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</si>
  <si>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</si>
  <si>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06-08-2025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</si>
  <si>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</si>
  <si>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</si>
  <si>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</si>
  <si>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</si>
  <si>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</si>
  <si>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</si>
  <si>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</si>
  <si>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</si>
  <si>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</si>
  <si>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</si>
  <si>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</si>
  <si>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</si>
  <si>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</si>
  <si>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</si>
  <si>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</si>
  <si>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</si>
  <si>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</si>
  <si>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</si>
  <si>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</si>
  <si>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</si>
  <si>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</si>
  <si>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</si>
  <si>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</si>
  <si>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</si>
  <si>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</si>
  <si>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</si>
  <si>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</si>
  <si>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</si>
  <si>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</si>
  <si>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</si>
  <si>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</si>
  <si>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</si>
  <si>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</si>
  <si>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</si>
  <si>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</si>
  <si>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</si>
  <si>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</si>
  <si>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</si>
  <si>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</si>
  <si>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</si>
  <si>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</si>
  <si>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</si>
  <si>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</si>
  <si>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</si>
  <si>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</si>
  <si>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</si>
  <si>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</si>
  <si>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</si>
  <si>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</si>
  <si>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</si>
  <si>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</si>
  <si>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</si>
  <si>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</si>
  <si>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</si>
  <si>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</si>
  <si>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</si>
  <si>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</si>
  <si>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</si>
  <si>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</si>
  <si>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</si>
  <si>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</si>
  <si>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</si>
  <si>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</si>
  <si>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</si>
  <si>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</si>
  <si>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</si>
  <si>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</si>
  <si>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</si>
  <si>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</si>
  <si>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</si>
  <si>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</si>
  <si>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</si>
  <si>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</si>
  <si>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</si>
  <si>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</si>
  <si>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</si>
  <si>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</si>
  <si>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</si>
  <si>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</si>
  <si>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</si>
  <si>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</si>
  <si>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</si>
  <si>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</si>
  <si>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</si>
  <si>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</si>
  <si>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</si>
  <si>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</si>
  <si>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</si>
  <si>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</si>
  <si>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</si>
  <si>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</si>
  <si>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</si>
  <si>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</si>
  <si>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</si>
  <si>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</si>
  <si>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</si>
  <si>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</si>
  <si>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</si>
  <si>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</si>
  <si>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</si>
  <si>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</si>
  <si>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</si>
  <si>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</si>
  <si>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</si>
  <si>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</si>
  <si>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</si>
  <si>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</si>
  <si>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</si>
  <si>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</si>
  <si>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</si>
  <si>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</si>
  <si>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</si>
  <si>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</si>
  <si>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</si>
  <si>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</si>
  <si>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</si>
  <si>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</si>
  <si>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</si>
  <si>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</si>
  <si>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</si>
  <si>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</si>
  <si>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</si>
  <si>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</si>
  <si>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</si>
  <si>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</si>
  <si>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</si>
  <si>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</si>
  <si>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</si>
  <si>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</si>
  <si>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</si>
  <si>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</si>
  <si>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</si>
  <si>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</si>
  <si>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</si>
  <si>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</si>
  <si>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</si>
  <si>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</si>
  <si>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</si>
  <si>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</si>
  <si>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31964717</t>
  </si>
  <si>
    <t>ООО "РТС"</t>
  </si>
  <si>
    <t>4444004220</t>
  </si>
  <si>
    <t>444401001</t>
  </si>
  <si>
    <t>26-04-1999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</si>
  <si>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</si>
  <si>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</si>
  <si>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</si>
  <si>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</si>
  <si>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</si>
  <si>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</si>
  <si>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</si>
  <si>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</si>
  <si>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</si>
  <si>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</si>
  <si>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</si>
  <si>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</si>
  <si>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</si>
  <si>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</si>
  <si>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</si>
  <si>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</si>
  <si>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</si>
  <si>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</si>
  <si>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</si>
  <si>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</si>
  <si>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</si>
  <si>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</si>
  <si>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</si>
  <si>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</si>
  <si>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</si>
  <si>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</si>
  <si>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</si>
  <si>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</si>
  <si>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</si>
  <si>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</si>
  <si>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</si>
  <si>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</si>
  <si>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</si>
  <si>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</si>
  <si>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</si>
  <si>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</si>
  <si>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27-05-2025 00:00:00</t>
  </si>
  <si>
    <t>31605496</t>
  </si>
  <si>
    <t>ООО "ТЕПЛО"</t>
  </si>
  <si>
    <t>4400008717</t>
  </si>
  <si>
    <t>19-08-2022 00:00:00</t>
  </si>
  <si>
    <t>31443525</t>
  </si>
  <si>
    <t>ООО "ТЕПЛО-СЕРВИС"</t>
  </si>
  <si>
    <t>4437000619</t>
  </si>
  <si>
    <t>443701001</t>
  </si>
  <si>
    <t>11-08-2020 00:00:00</t>
  </si>
  <si>
    <t>02-02-2026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</si>
  <si>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</si>
  <si>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</si>
  <si>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</si>
  <si>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</si>
  <si>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</si>
  <si>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</si>
  <si>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</si>
  <si>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</si>
  <si>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</si>
  <si>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</si>
  <si>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</si>
  <si>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</si>
  <si>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</si>
  <si>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</si>
  <si>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</si>
  <si>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</si>
  <si>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</si>
  <si>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</si>
  <si>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</si>
  <si>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</si>
  <si>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</si>
  <si>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</si>
  <si>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</si>
  <si>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</si>
  <si>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</si>
  <si>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</si>
  <si>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</si>
  <si>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</si>
  <si>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</si>
  <si>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</si>
  <si>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</si>
  <si>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</si>
  <si>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</si>
  <si>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</si>
  <si>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</si>
  <si>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</si>
  <si>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</si>
  <si>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</si>
  <si>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</si>
  <si>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</si>
  <si>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</si>
  <si>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</si>
  <si>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</si>
  <si>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</si>
  <si>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</si>
  <si>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</si>
  <si>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</si>
  <si>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</si>
  <si>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</si>
  <si>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</si>
  <si>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</si>
  <si>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</si>
  <si>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</si>
  <si>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</si>
  <si>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</si>
  <si>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</si>
  <si>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</si>
  <si>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</si>
  <si>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</si>
  <si>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</si>
  <si>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</si>
  <si>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</si>
  <si>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</si>
  <si>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</si>
  <si>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</si>
  <si>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</si>
  <si>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</si>
  <si>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</si>
  <si>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</si>
  <si>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</si>
  <si>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</si>
  <si>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</si>
  <si>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</si>
  <si>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</si>
  <si>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</si>
  <si>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</si>
  <si>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</si>
  <si>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</si>
  <si>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</si>
  <si>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</si>
  <si>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</si>
  <si>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</si>
  <si>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</si>
  <si>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</si>
  <si>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</si>
  <si>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</si>
  <si>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</si>
  <si>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</si>
  <si>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</si>
  <si>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</si>
  <si>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</si>
  <si>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</si>
  <si>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</si>
  <si>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</si>
  <si>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</si>
  <si>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</si>
  <si>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</si>
  <si>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</si>
  <si>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</si>
  <si>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</si>
  <si>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</si>
  <si>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</si>
  <si>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</si>
  <si>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</si>
  <si>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</si>
  <si>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</si>
  <si>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</si>
  <si>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</si>
  <si>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</si>
  <si>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</si>
  <si>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</si>
  <si>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</si>
  <si>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</si>
  <si>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</si>
  <si>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</si>
  <si>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</si>
  <si>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</si>
  <si>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</si>
  <si>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</si>
  <si>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</si>
  <si>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</si>
  <si>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</si>
  <si>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</si>
  <si>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</si>
  <si>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</si>
  <si>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</si>
  <si>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</si>
  <si>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</si>
  <si>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</si>
  <si>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</si>
  <si>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</si>
  <si>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</si>
  <si>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</si>
  <si>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</si>
  <si>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</si>
  <si>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</si>
  <si>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</si>
  <si>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</si>
  <si>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</si>
  <si>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</si>
  <si>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</si>
  <si>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</si>
  <si>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</si>
  <si>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</si>
  <si>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</si>
  <si>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</si>
  <si>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</si>
  <si>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</si>
  <si>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</si>
  <si>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</si>
  <si>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</si>
  <si>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</si>
  <si>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</si>
  <si>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</si>
  <si>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</si>
  <si>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</si>
  <si>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</si>
  <si>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31601511</t>
  </si>
  <si>
    <t>МКУП "ЭкоВодТехнологии"</t>
  </si>
  <si>
    <t>4400007625</t>
  </si>
  <si>
    <t>05-04-2022 00:00:00</t>
  </si>
  <si>
    <t>28534221</t>
  </si>
  <si>
    <t>МУП "Красноетеплоэнерго"</t>
  </si>
  <si>
    <t>4415004916</t>
  </si>
  <si>
    <t>15-09-2005 00:00:00</t>
  </si>
  <si>
    <t>25-04-2025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</si>
  <si>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</si>
  <si>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</si>
  <si>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</si>
  <si>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</si>
  <si>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</si>
  <si>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</si>
  <si>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</si>
  <si>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</si>
  <si>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</si>
  <si>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</si>
  <si>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</si>
  <si>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</si>
  <si>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</si>
  <si>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</si>
  <si>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14-10-2025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</si>
  <si>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</si>
  <si>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</si>
  <si>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</si>
  <si>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</si>
  <si>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</si>
  <si>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</si>
  <si>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</si>
  <si>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</si>
  <si>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</si>
  <si>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</si>
  <si>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</si>
  <si>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</si>
  <si>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</si>
  <si>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</si>
  <si>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</si>
  <si>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</si>
  <si>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</si>
  <si>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</si>
  <si>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</si>
  <si>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</si>
  <si>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</si>
  <si>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</si>
  <si>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</si>
  <si>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</si>
  <si>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</si>
  <si>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</si>
  <si>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</si>
  <si>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</si>
  <si>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12-12-2025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</si>
  <si>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</si>
  <si>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</si>
  <si>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</si>
  <si>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</si>
  <si>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</si>
  <si>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</si>
  <si>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</si>
  <si>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</si>
  <si>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</si>
  <si>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</si>
  <si>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</si>
  <si>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</si>
  <si>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</si>
  <si>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</si>
  <si>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</si>
  <si>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</si>
  <si>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</si>
  <si>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</si>
  <si>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</si>
  <si>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</si>
  <si>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</si>
  <si>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</si>
  <si>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</si>
  <si>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</si>
  <si>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</si>
  <si>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</si>
  <si>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</si>
  <si>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</si>
  <si>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</si>
  <si>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</si>
  <si>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</si>
  <si>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</si>
  <si>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</si>
  <si>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</si>
  <si>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</si>
  <si>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</si>
  <si>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</si>
  <si>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</si>
  <si>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</si>
  <si>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</si>
  <si>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</si>
  <si>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</si>
  <si>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</si>
  <si>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</si>
  <si>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</si>
  <si>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</si>
  <si>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16-10-2025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</si>
  <si>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</si>
  <si>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</si>
  <si>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</si>
  <si>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</si>
  <si>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</si>
  <si>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</si>
  <si>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</si>
  <si>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</si>
  <si>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</si>
  <si>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</si>
  <si>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</si>
  <si>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</si>
  <si>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</si>
  <si>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</si>
  <si>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26372965</t>
  </si>
  <si>
    <t>СПК "Мир"</t>
  </si>
  <si>
    <t>4420000152</t>
  </si>
  <si>
    <t>31-01-2025 00:00:00</t>
  </si>
  <si>
    <t>26372956</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</si>
  <si>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</si>
  <si>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</si>
  <si>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</si>
  <si>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</si>
  <si>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</si>
  <si>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</si>
  <si>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</si>
  <si>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</si>
  <si>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</si>
  <si>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</si>
  <si>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</si>
  <si>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</si>
  <si>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</si>
  <si>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</si>
  <si>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</si>
  <si>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</si>
  <si>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</si>
  <si>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</si>
  <si>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</si>
  <si>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</si>
  <si>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</si>
  <si>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</si>
  <si>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</si>
  <si>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</si>
  <si>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</si>
  <si>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</si>
  <si>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</si>
  <si>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</si>
  <si>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</si>
  <si>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</si>
  <si>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</si>
  <si>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</si>
  <si>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</si>
  <si>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</si>
  <si>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</si>
  <si>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</si>
  <si>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</si>
  <si>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</si>
  <si>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</si>
  <si>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</si>
  <si>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</si>
  <si>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</si>
  <si>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</si>
  <si>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</si>
  <si>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</si>
  <si>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</si>
  <si>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</si>
  <si>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</si>
  <si>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</si>
  <si>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</si>
  <si>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</si>
  <si>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</si>
  <si>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</si>
  <si>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</si>
  <si>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</si>
  <si>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</si>
  <si>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</si>
  <si>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07-04-2026 00:00:00</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</si>
  <si>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</si>
  <si>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</si>
  <si>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</si>
  <si>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</si>
  <si>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</si>
  <si>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</si>
  <si>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</si>
  <si>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</si>
  <si>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</si>
  <si>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</si>
  <si>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</si>
  <si>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</si>
  <si>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</si>
  <si>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</si>
  <si>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</si>
  <si>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</si>
  <si>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</si>
  <si>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</si>
  <si>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</si>
  <si>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</si>
  <si>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</si>
  <si>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</si>
  <si>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</si>
  <si>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</si>
  <si>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</si>
  <si>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</si>
  <si>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</si>
  <si>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</si>
  <si>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</si>
  <si>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</si>
  <si>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</si>
  <si>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</si>
  <si>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</si>
  <si>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</si>
  <si>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</si>
  <si>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</si>
  <si>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</si>
  <si>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</si>
  <si>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</si>
  <si>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</si>
  <si>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</si>
  <si>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</si>
  <si>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</si>
  <si>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</si>
  <si>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</si>
  <si>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</si>
  <si>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</si>
  <si>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</si>
  <si>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</si>
  <si>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</si>
  <si>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</si>
  <si>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</si>
  <si>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</si>
  <si>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</si>
  <si>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</si>
  <si>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</si>
  <si>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</si>
  <si>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</si>
  <si>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</si>
  <si>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</si>
  <si>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</si>
  <si>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</si>
  <si>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</si>
  <si>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</si>
  <si>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</si>
  <si>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</si>
  <si>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</si>
  <si>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</si>
  <si>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</si>
  <si>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</si>
  <si>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</si>
  <si>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</si>
  <si>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</si>
  <si>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</si>
  <si>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</si>
  <si>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</si>
  <si>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</si>
  <si>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</si>
  <si>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</si>
  <si>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</si>
  <si>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</si>
  <si>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</si>
  <si>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</si>
  <si>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</si>
  <si>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</si>
  <si>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</si>
  <si>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</si>
  <si>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</si>
  <si>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</si>
  <si>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</si>
  <si>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</si>
  <si>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</si>
  <si>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</si>
  <si>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</si>
  <si>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</si>
  <si>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</si>
  <si>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</si>
  <si>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</si>
  <si>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</si>
  <si>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</si>
  <si>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</si>
  <si>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</si>
  <si>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</si>
  <si>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</si>
  <si>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</si>
  <si>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</si>
  <si>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</si>
  <si>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</si>
  <si>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</si>
  <si>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</si>
  <si>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</si>
  <si>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</si>
  <si>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</si>
  <si>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</si>
  <si>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</si>
  <si>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</si>
  <si>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</si>
  <si>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</si>
  <si>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</si>
  <si>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</si>
  <si>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</si>
  <si>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</si>
  <si>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</si>
  <si>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</si>
  <si>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</si>
  <si>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</si>
  <si>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</si>
  <si>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</si>
  <si>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</si>
  <si>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</si>
  <si>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</si>
  <si>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</si>
  <si>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</si>
  <si>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</si>
  <si>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</si>
  <si>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</si>
  <si>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</si>
  <si>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</si>
  <si>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</si>
  <si>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</si>
  <si>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</si>
  <si>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</si>
  <si>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</si>
  <si>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</si>
  <si>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</si>
  <si>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</si>
  <si>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</si>
  <si>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</si>
  <si>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</si>
  <si>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</si>
  <si>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</si>
  <si>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</si>
  <si>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</si>
  <si>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</si>
  <si>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</si>
  <si>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</si>
  <si>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</si>
  <si>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</si>
  <si>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</si>
  <si>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</si>
  <si>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</si>
  <si>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</si>
  <si>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</si>
  <si>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</si>
  <si>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</si>
  <si>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</si>
  <si>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</si>
  <si>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</si>
  <si>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</si>
  <si>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</si>
  <si>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</si>
  <si>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</si>
  <si>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</si>
  <si>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</si>
  <si>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</si>
  <si>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</si>
  <si>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</si>
  <si>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</si>
  <si>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Подольское</t>
  </si>
  <si>
    <t>34616416</t>
  </si>
  <si>
    <t>61</t>
  </si>
  <si>
    <t>Прискоковское</t>
  </si>
  <si>
    <t>34616420</t>
  </si>
  <si>
    <t>62</t>
  </si>
  <si>
    <t>Сидоровское</t>
  </si>
  <si>
    <t>34616424</t>
  </si>
  <si>
    <t>63</t>
  </si>
  <si>
    <t>Чапаевское</t>
  </si>
  <si>
    <t>34616428</t>
  </si>
  <si>
    <t>64</t>
  </si>
  <si>
    <t>Шолоховское</t>
  </si>
  <si>
    <t>34616432</t>
  </si>
  <si>
    <t>65</t>
  </si>
  <si>
    <t>городское поселение поселок Красное-на-Волге</t>
  </si>
  <si>
    <t>34616151</t>
  </si>
  <si>
    <t>Макарьевский муниципальный округ</t>
  </si>
  <si>
    <t>34518000</t>
  </si>
  <si>
    <t>67</t>
  </si>
  <si>
    <t>Макарьевский муниципальный район</t>
  </si>
  <si>
    <t>34618000</t>
  </si>
  <si>
    <t>Горчухинское</t>
  </si>
  <si>
    <t>34618406</t>
  </si>
  <si>
    <t>69</t>
  </si>
  <si>
    <t>Нежитинское</t>
  </si>
  <si>
    <t>34618416</t>
  </si>
  <si>
    <t>70</t>
  </si>
  <si>
    <t>Николо-Макаровское</t>
  </si>
  <si>
    <t>34618424</t>
  </si>
  <si>
    <t>71</t>
  </si>
  <si>
    <t>Унженское</t>
  </si>
  <si>
    <t>34618440</t>
  </si>
  <si>
    <t>72</t>
  </si>
  <si>
    <t>Усть-Нейское</t>
  </si>
  <si>
    <t>34618444</t>
  </si>
  <si>
    <t>73</t>
  </si>
  <si>
    <t>городское поселение город Макарьев</t>
  </si>
  <si>
    <t>34618101</t>
  </si>
  <si>
    <t>74</t>
  </si>
  <si>
    <t>Мантуровский муниципальный округ</t>
  </si>
  <si>
    <t>34520000</t>
  </si>
  <si>
    <t>75</t>
  </si>
  <si>
    <t>Межевской муниципальный округ</t>
  </si>
  <si>
    <t>34522000</t>
  </si>
  <si>
    <t>76</t>
  </si>
  <si>
    <t>Нейский муниципальный округ</t>
  </si>
  <si>
    <t>34524000</t>
  </si>
  <si>
    <t>77</t>
  </si>
  <si>
    <t>Октябрьский муниципальный округ</t>
  </si>
  <si>
    <t>34528000</t>
  </si>
  <si>
    <t>78</t>
  </si>
  <si>
    <t>Октябрьский муниципальный район</t>
  </si>
  <si>
    <t>34628000</t>
  </si>
  <si>
    <t>Луптюгское</t>
  </si>
  <si>
    <t>34628412</t>
  </si>
  <si>
    <t>79</t>
  </si>
  <si>
    <t>Новинское</t>
  </si>
  <si>
    <t>34628414</t>
  </si>
  <si>
    <t>80</t>
  </si>
  <si>
    <t>81</t>
  </si>
  <si>
    <t>Покровское</t>
  </si>
  <si>
    <t>34628416</t>
  </si>
  <si>
    <t>82</t>
  </si>
  <si>
    <t>Островский муниципальный округ</t>
  </si>
  <si>
    <t>34530000</t>
  </si>
  <si>
    <t>83</t>
  </si>
  <si>
    <t>Островский муниципальный район</t>
  </si>
  <si>
    <t>34630000</t>
  </si>
  <si>
    <t>Адищевское</t>
  </si>
  <si>
    <t>34630404</t>
  </si>
  <si>
    <t>84</t>
  </si>
  <si>
    <t>Клеванцовское</t>
  </si>
  <si>
    <t>34630424</t>
  </si>
  <si>
    <t>85</t>
  </si>
  <si>
    <t>86</t>
  </si>
  <si>
    <t>Островское</t>
  </si>
  <si>
    <t>34630432</t>
  </si>
  <si>
    <t>87</t>
  </si>
  <si>
    <t>Островское (Центральное)</t>
  </si>
  <si>
    <t>34630438</t>
  </si>
  <si>
    <t>88</t>
  </si>
  <si>
    <t>Павинский муниципальный округ</t>
  </si>
  <si>
    <t>34532000</t>
  </si>
  <si>
    <t>89</t>
  </si>
  <si>
    <t>Павинский муниципальный район</t>
  </si>
  <si>
    <t>34632000</t>
  </si>
  <si>
    <t>Леденгское</t>
  </si>
  <si>
    <t>34632408</t>
  </si>
  <si>
    <t>90</t>
  </si>
  <si>
    <t>91</t>
  </si>
  <si>
    <t>Павинское</t>
  </si>
  <si>
    <t>34632416</t>
  </si>
  <si>
    <t>92</t>
  </si>
  <si>
    <t>Петропавловское</t>
  </si>
  <si>
    <t>34632420</t>
  </si>
  <si>
    <t>93</t>
  </si>
  <si>
    <t>Парфеньевский муниципальный округ</t>
  </si>
  <si>
    <t>34534000</t>
  </si>
  <si>
    <t>94</t>
  </si>
  <si>
    <t>Поназыревский муниципальный округ</t>
  </si>
  <si>
    <t>34536000</t>
  </si>
  <si>
    <t>95</t>
  </si>
  <si>
    <t>Пыщугский муниципальный округ</t>
  </si>
  <si>
    <t>34538000</t>
  </si>
  <si>
    <t>96</t>
  </si>
  <si>
    <t>Солигаличский муниципальный округ</t>
  </si>
  <si>
    <t>34540000</t>
  </si>
  <si>
    <t>97</t>
  </si>
  <si>
    <t>Солигаличский муниципальный район</t>
  </si>
  <si>
    <t>34640000</t>
  </si>
  <si>
    <t>Бурдуковское</t>
  </si>
  <si>
    <t>34640404</t>
  </si>
  <si>
    <t>98</t>
  </si>
  <si>
    <t>Корцовское</t>
  </si>
  <si>
    <t>34640424</t>
  </si>
  <si>
    <t>99</t>
  </si>
  <si>
    <t>Лосевское</t>
  </si>
  <si>
    <t>34640432</t>
  </si>
  <si>
    <t>100</t>
  </si>
  <si>
    <t>Первомайское</t>
  </si>
  <si>
    <t>34640436</t>
  </si>
  <si>
    <t>101</t>
  </si>
  <si>
    <t>102</t>
  </si>
  <si>
    <t>Солигаличское</t>
  </si>
  <si>
    <t>34640440</t>
  </si>
  <si>
    <t>103</t>
  </si>
  <si>
    <t>городское поселение город Солигалич</t>
  </si>
  <si>
    <t>34640101</t>
  </si>
  <si>
    <t>104</t>
  </si>
  <si>
    <t>Судиславский муниципальный округ</t>
  </si>
  <si>
    <t>34542000</t>
  </si>
  <si>
    <t>105</t>
  </si>
  <si>
    <t>Судиславский муниципальный район</t>
  </si>
  <si>
    <t>34642000</t>
  </si>
  <si>
    <t>Воронское</t>
  </si>
  <si>
    <t>34642408</t>
  </si>
  <si>
    <t>106</t>
  </si>
  <si>
    <t>Расловское</t>
  </si>
  <si>
    <t>34642424</t>
  </si>
  <si>
    <t>107</t>
  </si>
  <si>
    <t>108</t>
  </si>
  <si>
    <t>Судиславское</t>
  </si>
  <si>
    <t>34642432</t>
  </si>
  <si>
    <t>109</t>
  </si>
  <si>
    <t>городское поселение посёлок Судиславль</t>
  </si>
  <si>
    <t>34642151</t>
  </si>
  <si>
    <t>110</t>
  </si>
  <si>
    <t>Сусанинский муниципальный округ</t>
  </si>
  <si>
    <t>34544000</t>
  </si>
  <si>
    <t>111</t>
  </si>
  <si>
    <t>Сусанинский муниципальный район</t>
  </si>
  <si>
    <t>34644000</t>
  </si>
  <si>
    <t>Андреевское</t>
  </si>
  <si>
    <t>34644404</t>
  </si>
  <si>
    <t>112</t>
  </si>
  <si>
    <t>Буяковское</t>
  </si>
  <si>
    <t>34644408</t>
  </si>
  <si>
    <t>113</t>
  </si>
  <si>
    <t>Северное</t>
  </si>
  <si>
    <t>34644428</t>
  </si>
  <si>
    <t>114</t>
  </si>
  <si>
    <t>Сокиринское</t>
  </si>
  <si>
    <t>34644436</t>
  </si>
  <si>
    <t>115</t>
  </si>
  <si>
    <t>Сумароковское</t>
  </si>
  <si>
    <t>34644432</t>
  </si>
  <si>
    <t>116</t>
  </si>
  <si>
    <t>117</t>
  </si>
  <si>
    <t>Ченцовское</t>
  </si>
  <si>
    <t>34644440</t>
  </si>
  <si>
    <t>118</t>
  </si>
  <si>
    <t>городское поселение посёлок Сусанино</t>
  </si>
  <si>
    <t>34644151</t>
  </si>
  <si>
    <t>119</t>
  </si>
  <si>
    <t>Чухломский муниципальный округ</t>
  </si>
  <si>
    <t>34546000</t>
  </si>
  <si>
    <t>120</t>
  </si>
  <si>
    <t>Чухломский муниципальный район</t>
  </si>
  <si>
    <t>34646000</t>
  </si>
  <si>
    <t>Ножкинское</t>
  </si>
  <si>
    <t>34646420</t>
  </si>
  <si>
    <t>121</t>
  </si>
  <si>
    <t>Петровское</t>
  </si>
  <si>
    <t>34646424</t>
  </si>
  <si>
    <t>122</t>
  </si>
  <si>
    <t>Повалихинское</t>
  </si>
  <si>
    <t>34646428</t>
  </si>
  <si>
    <t>123</t>
  </si>
  <si>
    <t>Судайское</t>
  </si>
  <si>
    <t>34646436</t>
  </si>
  <si>
    <t>124</t>
  </si>
  <si>
    <t>125</t>
  </si>
  <si>
    <t>Чухломское</t>
  </si>
  <si>
    <t>34646452</t>
  </si>
  <si>
    <t>126</t>
  </si>
  <si>
    <t>Шартановское</t>
  </si>
  <si>
    <t>34646456</t>
  </si>
  <si>
    <t>127</t>
  </si>
  <si>
    <t>городское поселение город Чухлома</t>
  </si>
  <si>
    <t>34646101</t>
  </si>
  <si>
    <t>128</t>
  </si>
  <si>
    <t>Шарьинский муниципальный округ</t>
  </si>
  <si>
    <t>34548000</t>
  </si>
  <si>
    <t>129</t>
  </si>
  <si>
    <t>Шарьинский муниципальный район</t>
  </si>
  <si>
    <t>34648000</t>
  </si>
  <si>
    <t>Зебляковское</t>
  </si>
  <si>
    <t>34648410</t>
  </si>
  <si>
    <t>130</t>
  </si>
  <si>
    <t>Ивановское</t>
  </si>
  <si>
    <t>34648412</t>
  </si>
  <si>
    <t>131</t>
  </si>
  <si>
    <t>Конёвское</t>
  </si>
  <si>
    <t>34648420</t>
  </si>
  <si>
    <t>132</t>
  </si>
  <si>
    <t>Одоевское</t>
  </si>
  <si>
    <t>34648436</t>
  </si>
  <si>
    <t>133</t>
  </si>
  <si>
    <t>Троицкое</t>
  </si>
  <si>
    <t>34648452</t>
  </si>
  <si>
    <t>134</t>
  </si>
  <si>
    <t>Шангское</t>
  </si>
  <si>
    <t>34648456</t>
  </si>
  <si>
    <t>135</t>
  </si>
  <si>
    <t>136</t>
  </si>
  <si>
    <t>Шекшемское</t>
  </si>
  <si>
    <t>34648457</t>
  </si>
  <si>
    <t>137</t>
  </si>
  <si>
    <t>городской округ город Буй</t>
  </si>
  <si>
    <t>34705000</t>
  </si>
  <si>
    <t>городской округ</t>
  </si>
  <si>
    <t>138</t>
  </si>
  <si>
    <t>городской округ город Галич</t>
  </si>
  <si>
    <t>34708000</t>
  </si>
  <si>
    <t>140</t>
  </si>
  <si>
    <t>городской округ город Кострома</t>
  </si>
  <si>
    <t>34701000</t>
  </si>
  <si>
    <t>141</t>
  </si>
  <si>
    <t>городской округ город Мантурово</t>
  </si>
  <si>
    <t>34714000</t>
  </si>
  <si>
    <t>142</t>
  </si>
  <si>
    <t>городской округ город Шарья</t>
  </si>
  <si>
    <t>34730000</t>
  </si>
  <si>
    <t>143</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</si>
  <si>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</si>
  <si>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</si>
  <si>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</si>
  <si>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</si>
  <si>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</si>
  <si>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</si>
  <si>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</si>
  <si>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</si>
  <si>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</si>
  <si>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</si>
  <si>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</si>
  <si>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</si>
  <si>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</si>
  <si>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</si>
  <si>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</si>
  <si>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</si>
  <si>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</si>
  <si>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</si>
  <si>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</si>
  <si>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</si>
  <si>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 48 от 29.10.2025 МУП Г.КОСТРОМЫ "ГОРОДСКИЕ СЕТИ" в сфере теплоснабжения в отношении систем теплоснабжения на 2026-2027 годы</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</si>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</sst>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72">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179" fontId="0" fillId="39" borderId="12"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22" fillId="40" borderId="12" xfId="0" applyFont="1" applyFill="1" applyBorder="1">
      <alignment horizontal="left" vertical="top" wrapText="1"/>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49" fontId="0" fillId="40" borderId="12" xfId="0" applyFont="1" applyFill="1" applyBorder="1" applyNumberFormat="1">
      <alignment horizontal="left" vertical="top"/>
    </xf>
    <xf numFmtId="0" fontId="39" fillId="37" borderId="15" xfId="0" applyFont="1" applyFill="1" applyBorder="1">
      <alignment horizontal="left" vertical="center"/>
    </xf>
    <xf numFmtId="0" fontId="0" fillId="37" borderId="15" xfId="0" applyFont="1" applyFill="1" applyBorder="1">
      <alignmen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49" fontId="0" fillId="0" borderId="12" xfId="0" applyFont="1" applyBorder="1" applyNumberFormat="1">
      <alignment horizontal="left" vertical="center" wrapText="1"/>
    </xf>
    <xf numFmtId="179" fontId="0" fillId="0" borderId="12" xfId="0" applyFont="1" applyBorder="1" applyNumberFormat="1">
      <alignment horizontal="left" vertical="center" wrapText="1" inden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53" fillId="39" borderId="12" xfId="0" applyFont="1" applyFill="1" applyBorder="1" applyNumberFormat="1">
      <alignment horizontal="left" vertical="center" wrapText="1"/>
      <protection locked="0"/>
    </xf>
    <xf numFmtId="0" fontId="29" fillId="0" borderId="0" xfId="0" applyFont="1"/>
    <xf numFmtId="0" fontId="22" fillId="0" borderId="0" xfId="61" applyFont="1" applyNumberFormat="1">
      <alignment vertical="center" wrapText="1"/>
    </xf>
    <xf numFmtId="0" fontId="22" fillId="34" borderId="13" xfId="61" applyFont="1" applyFill="1" applyBorder="1" applyNumberFormat="1">
      <alignment horizontal="left" vertical="center" wrapText="1"/>
    </xf>
    <xf numFmtId="0" fontId="22" fillId="40" borderId="13" xfId="61" applyFont="1" applyFill="1" applyBorder="1" applyNumberFormat="1">
      <alignment horizontal="left" vertical="center" wrapText="1"/>
    </xf>
    <xf numFmtId="49" fontId="22" fillId="40" borderId="12" xfId="61" applyFont="1" applyFill="1" applyBorder="1" applyNumberFormat="1">
      <alignment horizontal="center" vertical="center" wrapText="1"/>
    </xf>
    <xf numFmtId="49" fontId="22" fillId="37" borderId="15" xfId="61" applyFont="1" applyFill="1" applyBorder="1" applyNumberFormat="1">
      <alignment horizontal="center" vertical="center" wrapText="1"/>
    </xf>
    <xf numFmtId="49" fontId="0" fillId="37" borderId="15" xfId="61" applyFont="1" applyFill="1" applyBorder="1" applyNumberFormat="1">
      <alignment horizontal="center" vertical="center" wrapText="1"/>
    </xf>
    <xf numFmtId="49" fontId="47" fillId="0" borderId="19" xfId="61" applyFont="1" applyBorder="1" applyNumberFormat="1">
      <alignment horizontal="center" vertical="center" wrapText="1"/>
    </xf>
    <xf numFmtId="49" fontId="47" fillId="0" borderId="0" xfId="61" applyFont="1" applyNumberFormat="1">
      <alignment horizontal="center" vertical="center" wrapText="1"/>
    </xf>
    <xf numFmtId="0" fontId="46" fillId="0" borderId="0" xfId="61" applyFont="1" applyNumberFormat="1">
      <alignment vertical="center" wrapText="1"/>
    </xf>
    <xf numFmtId="0" fontId="46" fillId="0" borderId="0" xfId="61" applyFont="1" applyNumberFormat="1">
      <alignment vertical="center"/>
    </xf>
    <xf numFmtId="0" fontId="22" fillId="0" borderId="19" xfId="61" applyFont="1" applyBorder="1" applyNumberFormat="1">
      <alignment horizontal="left" vertical="top" wrapText="1" indent="1"/>
    </xf>
    <xf numFmtId="0" fontId="22" fillId="0" borderId="27" xfId="61" applyFont="1" applyBorder="1" applyNumberFormat="1">
      <alignment horizontal="left" vertical="center" wrapText="1" indent="1"/>
    </xf>
    <xf numFmtId="0" fontId="49" fillId="35" borderId="0" xfId="61" applyFont="1" applyFill="1" applyNumberFormat="1">
      <alignment horizontal="center" vertical="center" wrapText="1"/>
    </xf>
    <xf numFmtId="0" fontId="47" fillId="0" borderId="0" xfId="61" applyFont="1" applyNumberFormat="1">
      <alignment vertical="center" wrapText="1"/>
    </xf>
    <xf numFmtId="0" fontId="36" fillId="0" borderId="27" xfId="61" applyFont="1" applyBorder="1" applyNumberFormat="1">
      <alignment horizontal="center" vertical="center" wrapText="1"/>
    </xf>
    <xf numFmtId="0" fontId="22" fillId="0" borderId="12" xfId="61" applyFont="1" applyBorder="1" applyNumberFormat="1">
      <alignment horizontal="center" vertical="center" wrapText="1"/>
    </xf>
    <xf numFmtId="0" fontId="22" fillId="35" borderId="17" xfId="61" applyFont="1" applyFill="1" applyBorder="1" applyNumberFormat="1">
      <alignment horizontal="center" vertical="center" wrapText="1"/>
    </xf>
    <xf numFmtId="0" fontId="22" fillId="35" borderId="36" xfId="61" applyFont="1" applyFill="1" applyBorder="1" applyNumberFormat="1">
      <alignment horizontal="center" vertical="center" wrapText="1"/>
    </xf>
    <xf numFmtId="0" fontId="22" fillId="35" borderId="23" xfId="61" applyFont="1" applyFill="1" applyBorder="1" applyNumberFormat="1">
      <alignment horizontal="center" vertical="center" wrapText="1"/>
    </xf>
    <xf numFmtId="0" fontId="80" fillId="35" borderId="19" xfId="61" applyFont="1" applyFill="1" applyBorder="1" applyNumberFormat="1">
      <alignment horizontal="center" vertical="center" wrapText="1"/>
    </xf>
    <xf numFmtId="0" fontId="22" fillId="0" borderId="0" xfId="61" applyFont="1" applyNumberFormat="1">
      <alignment horizontal="left" vertical="top" wrapText="1"/>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11</xdr:row>
      <xdr:rowOff>57341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19</xdr:row>
      <xdr:rowOff>76391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5D727-695B-5A37-52D7-0.090B90C1}"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48" width="5.421875" customWidth="1"/>
    <col min="2" max="2" style="2648" width="9.140625" customWidth="1"/>
    <col min="3" max="3" style="2648" width="16.421875" customWidth="1"/>
    <col min="4" max="25" style="2648" width="6.28125" customWidth="1"/>
    <col min="26" max="28" style="2648"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0CDA48B6-7CAB-F60E-2AB3-0.B18661B4}" mc:Ignorable="x14ac xr xr2 xr3">
  <sheetPr>
    <tabColor rgb="FFCCCCFF"/>
  </sheetPr>
  <dimension ref="A1:Q79"/>
  <sheetViews>
    <sheetView topLeftCell="A1" showGridLines="0" zoomScale="90" workbookViewId="0">
      <selection activeCell="I68" sqref="I68"/>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PP110.OPEN.INFO.REQUEST.HEAT.EIAS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c r="A11" s="2100" t="s">
        <v>20</v>
      </c>
      <c r="D11" s="77"/>
      <c r="E11" s="1167" t="s">
        <v>21</v>
      </c>
      <c r="F11" s="1734">
        <v>45658.355671296296</v>
      </c>
      <c r="G11" s="79"/>
      <c r="H11" s="775" t="s">
        <v>22</v>
      </c>
      <c r="J11" s="878" t="s">
        <v>23</v>
      </c>
      <c r="Q11" s="76">
        <v>0</v>
      </c>
    </row>
    <row customHeight="1" ht="22.5">
      <c r="A12" s="2100"/>
      <c r="D12" s="77"/>
      <c r="E12" s="1167" t="s">
        <v>24</v>
      </c>
      <c r="F12" s="1734">
        <v>47483.35579861111</v>
      </c>
      <c r="G12" s="75"/>
      <c r="J12" s="878" t="s">
        <v>25</v>
      </c>
      <c r="Q12" s="76">
        <v>0</v>
      </c>
    </row>
    <row s="1637" customFormat="1" customHeight="1" ht="22.5" hidden="1">
      <c r="A13" s="790" t="s">
        <v>26</v>
      </c>
      <c r="B13" s="100"/>
      <c r="C13" s="410"/>
      <c r="D13" s="412"/>
      <c r="E13" s="1777" t="s">
        <v>27</v>
      </c>
      <c r="F13" s="1734" t="s">
        <v>28</v>
      </c>
      <c r="G13" s="79"/>
      <c r="H13" s="772"/>
      <c r="I13" s="413"/>
      <c r="J13" s="1778" t="s">
        <v>29</v>
      </c>
      <c r="Q13" s="411">
        <v>0</v>
      </c>
    </row>
    <row s="1637" customFormat="1" customHeight="1" ht="27" hidden="1">
      <c r="A14" s="790" t="s">
        <v>30</v>
      </c>
      <c r="B14" s="100"/>
      <c r="C14" s="410"/>
      <c r="D14" s="412"/>
      <c r="E14" s="1167" t="s">
        <v>31</v>
      </c>
      <c r="F14" s="1769"/>
      <c r="G14" s="79"/>
      <c r="H14" s="772"/>
      <c r="I14" s="413"/>
      <c r="J14" s="878" t="s">
        <v>32</v>
      </c>
      <c r="Q14" s="411">
        <v>0</v>
      </c>
    </row>
    <row s="1637" customFormat="1" customHeight="1" ht="19.5" hidden="1">
      <c r="A15" s="790" t="s">
        <v>33</v>
      </c>
      <c r="B15" s="100"/>
      <c r="C15" s="410"/>
      <c r="D15" s="412"/>
      <c r="E15" s="1167" t="s">
        <v>34</v>
      </c>
      <c r="F15" s="1769"/>
      <c r="G15" s="79"/>
      <c r="H15" s="772"/>
      <c r="I15" s="413"/>
      <c r="J15" s="878" t="s">
        <v>35</v>
      </c>
      <c r="Q15" s="411">
        <v>0</v>
      </c>
    </row>
    <row s="1614" customFormat="1" customHeight="1" ht="6">
      <c r="A16" s="787"/>
      <c r="B16" s="234"/>
      <c r="C16" s="235"/>
      <c r="D16" s="241"/>
      <c r="E16" s="239"/>
      <c r="F16" s="242"/>
      <c r="G16" s="79"/>
      <c r="H16" s="411"/>
      <c r="I16" s="413"/>
      <c r="J16" s="876"/>
      <c r="Q16" s="238">
        <v>6</v>
      </c>
    </row>
    <row customHeight="1" ht="21">
      <c r="D17" s="77"/>
      <c r="E17" s="393" t="s">
        <v>36</v>
      </c>
      <c r="F17" s="2578" t="s">
        <v>37</v>
      </c>
      <c r="G17" s="75"/>
      <c r="H17" s="775" t="s">
        <v>22</v>
      </c>
      <c r="Q17" s="76">
        <v>20</v>
      </c>
    </row>
    <row customHeight="1" ht="25.5">
      <c r="D18" s="77"/>
      <c r="E18" s="1777" t="s">
        <v>38</v>
      </c>
      <c r="F18" s="2631">
        <v>46160.35606481481</v>
      </c>
      <c r="G18" s="75"/>
      <c r="I18" s="776"/>
      <c r="J18" s="2099" t="s">
        <v>39</v>
      </c>
      <c r="Q18" s="76">
        <v>0</v>
      </c>
    </row>
    <row customHeight="1" ht="25.5">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2631">
        <v>46388.35612268518</v>
      </c>
      <c r="G19" s="75"/>
      <c r="I19" s="776"/>
      <c r="J19" s="2099"/>
      <c r="Q19" s="76">
        <v>0</v>
      </c>
    </row>
    <row customHeight="1" ht="22.5">
      <c r="D20" s="77"/>
      <c r="E20" s="78"/>
      <c r="F20" s="272" t="str">
        <f>"Первичное "&amp;IF(TEMPLATE_GROUP="P","установление тарифов","предложение по тарифам")</f>
        <v>Первичное предложение по тарифам</v>
      </c>
      <c r="G20" s="75"/>
      <c r="I20" s="396"/>
      <c r="J20" s="877" t="s">
        <v>40</v>
      </c>
      <c r="Q20" s="76">
        <v>0</v>
      </c>
    </row>
    <row customHeight="1" ht="19.5">
      <c r="D21" s="77"/>
      <c r="E21" s="393" t="str">
        <f>"Дата "&amp;IF(TEMPLATE_GROUP="P","документа","подачи заявления")&amp;" об утверждении тарифов"</f>
        <v>Дата подачи заявления об утверждении тарифов</v>
      </c>
      <c r="F21" s="1734" t="s">
        <v>41</v>
      </c>
      <c r="G21" s="75"/>
      <c r="I21" s="777"/>
      <c r="Q21" s="76">
        <v>0</v>
      </c>
    </row>
    <row customHeight="1" ht="19.5">
      <c r="D22" s="77"/>
      <c r="E22" s="393" t="str">
        <f>"Номер "&amp;IF(TEMPLATE_GROUP="P","документа","подачи заявления")&amp;" об утверждении тарифов"</f>
        <v>Номер подачи заявления об утверждении тарифов</v>
      </c>
      <c r="F22" s="218" t="s">
        <v>42</v>
      </c>
      <c r="G22" s="75"/>
      <c r="I22" s="777"/>
      <c r="Q22" s="76">
        <v>0</v>
      </c>
    </row>
    <row customHeight="1" ht="22.5" hidden="1">
      <c r="D23" s="77"/>
      <c r="E23" s="393" t="s">
        <v>43</v>
      </c>
      <c r="F23" s="218"/>
      <c r="G23" s="75"/>
      <c r="Q23" s="76">
        <v>0</v>
      </c>
    </row>
    <row customHeight="1" ht="19.5" hidden="1">
      <c r="D24" s="77"/>
      <c r="E24" s="393" t="s">
        <v>44</v>
      </c>
      <c r="F24" s="218"/>
      <c r="G24" s="75"/>
      <c r="Q24" s="76">
        <v>0</v>
      </c>
    </row>
    <row customHeight="1" ht="22.5">
      <c r="D25" s="77"/>
      <c r="E25" s="78"/>
      <c r="F25" s="272" t="str">
        <f>"Изменение "&amp;IF(TEMPLATE_GROUP="P","тарифов","предложения по тарифам")</f>
        <v>Изменение предложения по тарифам</v>
      </c>
      <c r="G25" s="75"/>
      <c r="J25" s="877" t="s">
        <v>45</v>
      </c>
      <c r="Q25" s="76">
        <v>0</v>
      </c>
    </row>
    <row customHeight="1" ht="19.5">
      <c r="D26" s="77"/>
      <c r="E26" s="393" t="str">
        <f>"Дата "&amp;IF(TEMPLATE_GROUP="P","принятия решения","подачи заявления")&amp;" об изменении тарифов"</f>
        <v>Дата подачи заявления об изменении тарифов</v>
      </c>
      <c r="F26" s="2631">
        <v>46141.35650462963</v>
      </c>
      <c r="G26" s="75"/>
      <c r="Q26" s="76">
        <v>0</v>
      </c>
    </row>
    <row customHeight="1" ht="19.5">
      <c r="D27" s="77"/>
      <c r="E27" s="1167" t="str">
        <f>"Номер "&amp;IF(TEMPLATE_GROUP="P","принятия решения","заявления")&amp;" об изменении тарифов"</f>
        <v>Номер заявления об изменении тарифов</v>
      </c>
      <c r="F27" s="2632" t="s">
        <v>46</v>
      </c>
      <c r="G27" s="75"/>
      <c r="Q27" s="76">
        <v>0</v>
      </c>
    </row>
    <row customHeight="1" ht="24.75" hidden="1">
      <c r="D28" s="77"/>
      <c r="E28" s="393" t="s">
        <v>47</v>
      </c>
      <c r="F28" s="220"/>
      <c r="G28" s="75"/>
      <c r="Q28" s="76">
        <v>0</v>
      </c>
    </row>
    <row customHeight="1" ht="19.5" hidden="1">
      <c r="D29" s="77"/>
      <c r="E29" s="393" t="s">
        <v>44</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48</v>
      </c>
      <c r="G31" s="778"/>
      <c r="Q31" s="76">
        <v>20</v>
      </c>
    </row>
    <row customHeight="1" ht="21" hidden="1">
      <c r="C32" s="80"/>
      <c r="D32" s="81"/>
      <c r="E32" s="394" t="s">
        <v>49</v>
      </c>
      <c r="F32" s="219"/>
      <c r="G32" s="778"/>
      <c r="Q32" s="76">
        <v>20</v>
      </c>
    </row>
    <row customHeight="1" ht="21">
      <c r="C33" s="80"/>
      <c r="D33" s="81"/>
      <c r="E33" s="393" t="s">
        <v>50</v>
      </c>
      <c r="F33" s="219" t="s">
        <v>51</v>
      </c>
      <c r="G33" s="778"/>
      <c r="Q33" s="76">
        <v>20</v>
      </c>
    </row>
    <row customHeight="1" ht="21">
      <c r="C34" s="80"/>
      <c r="D34" s="81"/>
      <c r="E34" s="393" t="s">
        <v>52</v>
      </c>
      <c r="F34" s="219" t="s">
        <v>53</v>
      </c>
      <c r="G34" s="778"/>
      <c r="H34" s="82"/>
      <c r="Q34" s="76">
        <v>20</v>
      </c>
    </row>
    <row s="1614" customFormat="1" customHeight="1" ht="11.25">
      <c r="A35" s="787"/>
      <c r="B35" s="234"/>
      <c r="C35" s="235"/>
      <c r="D35" s="241"/>
      <c r="E35" s="239"/>
      <c r="F35" s="242"/>
      <c r="G35" s="79"/>
      <c r="H35" s="411"/>
      <c r="I35" s="413"/>
      <c r="J35" s="876"/>
      <c r="Q35" s="238">
        <v>11</v>
      </c>
    </row>
    <row customHeight="1" ht="19.5">
      <c r="A36" s="881"/>
      <c r="D36" s="81"/>
      <c r="E36" s="393" t="s">
        <v>54</v>
      </c>
      <c r="F36" s="1212" t="s">
        <v>55</v>
      </c>
      <c r="G36" s="79"/>
      <c r="Q36" s="76">
        <v>0</v>
      </c>
    </row>
    <row customHeight="1" ht="21">
      <c r="A37" s="881"/>
      <c r="D37" s="81"/>
      <c r="E37" s="393" t="s">
        <v>56</v>
      </c>
      <c r="F37" s="1212" t="s">
        <v>57</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58</v>
      </c>
      <c r="F39" s="712" t="s">
        <v>19</v>
      </c>
      <c r="G39" s="75"/>
      <c r="H39" s="775" t="s">
        <v>22</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26</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2" t="s">
        <v>19</v>
      </c>
      <c r="G41" s="75"/>
      <c r="I41" s="413"/>
      <c r="J41" s="878"/>
      <c r="Q41" s="411">
        <v>0</v>
      </c>
    </row>
    <row s="1614" customFormat="1" customHeight="1" ht="6">
      <c r="A42" s="786"/>
      <c r="B42" s="428"/>
      <c r="C42" s="429"/>
      <c r="D42" s="430"/>
      <c r="E42" s="431"/>
      <c r="F42" s="1055"/>
      <c r="G42" s="75"/>
      <c r="H42" s="411"/>
      <c r="I42" s="413"/>
      <c r="J42" s="876"/>
      <c r="Q42" s="432">
        <v>0</v>
      </c>
    </row>
    <row s="1637" customFormat="1" customHeight="1" ht="27" hidden="1">
      <c r="A43" s="786"/>
      <c r="B43" s="415"/>
      <c r="C43" s="410"/>
      <c r="D43" s="412"/>
      <c r="E43" s="393" t="s">
        <v>59</v>
      </c>
      <c r="F43" s="712" t="s">
        <v>19</v>
      </c>
      <c r="G43" s="75"/>
      <c r="I43" s="413"/>
      <c r="J43" s="878"/>
      <c r="Q43" s="411">
        <v>0</v>
      </c>
    </row>
    <row s="1637" customFormat="1" customHeight="1" ht="27" hidden="1">
      <c r="A44" s="786"/>
      <c r="B44" s="415"/>
      <c r="C44" s="410"/>
      <c r="D44" s="412"/>
      <c r="E44" s="1167" t="s">
        <v>60</v>
      </c>
      <c r="F44" s="1890"/>
      <c r="G44" s="75"/>
      <c r="I44" s="413"/>
      <c r="J44" s="878"/>
      <c r="Q44" s="411">
        <v>0</v>
      </c>
    </row>
    <row s="1614" customFormat="1" customHeight="1" ht="6">
      <c r="A45" s="786"/>
      <c r="B45" s="428"/>
      <c r="C45" s="429"/>
      <c r="D45" s="430"/>
      <c r="E45" s="431"/>
      <c r="F45" s="1055"/>
      <c r="G45" s="75"/>
      <c r="H45" s="411"/>
      <c r="I45" s="413"/>
      <c r="J45" s="878"/>
      <c r="Q45" s="432">
        <v>0</v>
      </c>
    </row>
    <row s="1614" customFormat="1" customHeight="1" ht="24.75">
      <c r="A46" s="786"/>
      <c r="B46" s="428"/>
      <c r="C46" s="429"/>
      <c r="D46" s="430"/>
      <c r="E46" s="1167" t="s">
        <v>61</v>
      </c>
      <c r="F46" s="712" t="s">
        <v>19</v>
      </c>
      <c r="G46" s="75"/>
      <c r="H46" s="411"/>
      <c r="I46" s="413"/>
      <c r="J46" s="878"/>
      <c r="Q46" s="432">
        <v>0</v>
      </c>
    </row>
    <row s="1637" customFormat="1" customHeight="1" ht="24.75">
      <c r="A47" s="786"/>
      <c r="B47" s="415"/>
      <c r="C47" s="410"/>
      <c r="D47" s="412"/>
      <c r="E47" s="1167" t="s">
        <v>62</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63</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64</v>
      </c>
      <c r="F53" s="1050" t="s">
        <v>19</v>
      </c>
      <c r="G53" s="534"/>
      <c r="I53" s="536"/>
      <c r="J53" s="880"/>
      <c r="P53" s="537"/>
      <c r="Q53" s="535">
        <v>0</v>
      </c>
    </row>
    <row s="1637" customFormat="1" customHeight="1" ht="27" hidden="1">
      <c r="A54" s="788"/>
      <c r="B54" s="415"/>
      <c r="C54" s="532"/>
      <c r="D54" s="533"/>
      <c r="E54" s="393" t="s">
        <v>65</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66</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67</v>
      </c>
      <c r="F58" s="1050" t="s">
        <v>68</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91"/>
      <c r="G59" s="534"/>
      <c r="I59" s="536"/>
      <c r="J59" s="880"/>
      <c r="P59" s="537"/>
      <c r="Q59" s="535">
        <v>0</v>
      </c>
    </row>
    <row s="1637" customFormat="1" customHeight="1" ht="15" hidden="1">
      <c r="A60" s="788"/>
      <c r="B60" s="415"/>
      <c r="C60" s="532"/>
      <c r="D60" s="533"/>
      <c r="E60" s="1167" t="s">
        <v>69</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70</v>
      </c>
      <c r="F62" s="1673" t="s">
        <v>68</v>
      </c>
      <c r="G62" s="75"/>
      <c r="H62" s="775" t="s">
        <v>22</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71</v>
      </c>
      <c r="F64" s="2578" t="s">
        <v>72</v>
      </c>
      <c r="G64" s="79"/>
      <c r="Q64" s="76">
        <v>20</v>
      </c>
    </row>
    <row customHeight="1" ht="21">
      <c r="A65" s="789"/>
      <c r="B65" s="101"/>
      <c r="D65" s="84"/>
      <c r="E65" s="393" t="s">
        <v>73</v>
      </c>
      <c r="F65" s="218" t="s">
        <v>74</v>
      </c>
      <c r="G65" s="79"/>
      <c r="Q65" s="76">
        <v>20</v>
      </c>
    </row>
    <row customHeight="1" ht="36.75">
      <c r="D66" s="77"/>
      <c r="E66" s="395" t="s">
        <v>75</v>
      </c>
      <c r="F66" s="1056"/>
      <c r="G66" s="75"/>
      <c r="Q66" s="76">
        <v>35</v>
      </c>
    </row>
    <row customHeight="1" ht="21">
      <c r="A67" s="789"/>
      <c r="D67" s="412"/>
      <c r="E67" s="393" t="s">
        <v>76</v>
      </c>
      <c r="F67" s="2578" t="s">
        <v>77</v>
      </c>
      <c r="G67" s="79"/>
      <c r="Q67" s="76">
        <v>20</v>
      </c>
    </row>
    <row customHeight="1" ht="21">
      <c r="A68" s="789"/>
      <c r="B68" s="101"/>
      <c r="D68" s="84"/>
      <c r="E68" s="393" t="s">
        <v>78</v>
      </c>
      <c r="F68" s="273" t="s">
        <v>79</v>
      </c>
      <c r="G68" s="79"/>
      <c r="Q68" s="76">
        <v>20</v>
      </c>
    </row>
    <row customHeight="1" ht="21">
      <c r="A69" s="789"/>
      <c r="B69" s="101"/>
      <c r="D69" s="84"/>
      <c r="E69" s="393" t="s">
        <v>80</v>
      </c>
      <c r="F69" s="273" t="s">
        <v>81</v>
      </c>
      <c r="G69" s="79"/>
      <c r="Q69" s="76">
        <v>20</v>
      </c>
    </row>
    <row customHeight="1" ht="21">
      <c r="D70" s="412"/>
      <c r="E70" s="393" t="s">
        <v>82</v>
      </c>
      <c r="F70" s="273" t="s">
        <v>83</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84</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B619735C-9017-F1A8-0473-0.0D48A195}"/>
    <hyperlink ref="H17" location="Титульный!H9" display="Как заполнить?" tooltip="Помощь по работе с полями отчётной формы" xr:uid="{.328B575-7F83-96DE-2143-0.0AA2C324}"/>
    <hyperlink ref="H39" location="Титульный!H9" display="Как заполнить?" tooltip="Помощь по работе с полями отчётной формы" xr:uid="{602D40F9-CED7-B2B3-8461-0.FD99E4A7}"/>
    <hyperlink ref="H62" location="Титульный!H9" display="Как заполнить?" tooltip="Помощь по работе с полями отчётной формы" xr:uid="{B0950312-41A8-F371-07CD-0.5CB00A5C}"/>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F954FC3-82D6-FD9F-00B6-0.A8EB9A76}" mc:Ignorable="x14ac xr xr2 xr3">
  <sheetPr>
    <tabColor rgb="FFCCCCFF"/>
    <pageSetUpPr fitToPage="1"/>
  </sheetPr>
  <dimension ref="A1:AC29"/>
  <sheetViews>
    <sheetView topLeftCell="A1" showGridLines="0" zoomScale="90" workbookViewId="0">
      <selection activeCell="G22" sqref="G22"/>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85</v>
      </c>
      <c r="H1" s="496" t="s">
        <v>86</v>
      </c>
      <c r="I1" s="229" t="s">
        <v>87</v>
      </c>
      <c r="J1" s="249" t="s">
        <v>85</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88</v>
      </c>
      <c r="F8" s="2104"/>
      <c r="G8" s="2105"/>
      <c r="H8" s="2106" t="s">
        <v>89</v>
      </c>
      <c r="I8" s="2106"/>
      <c r="J8" s="157"/>
      <c r="K8" s="157"/>
      <c r="L8" s="157"/>
      <c r="M8" s="157"/>
      <c r="N8" s="228"/>
      <c r="O8" s="157"/>
      <c r="P8" s="227"/>
      <c r="Q8" s="227"/>
      <c r="R8" s="227"/>
      <c r="S8" s="227"/>
      <c r="AC8" s="118">
        <v>14</v>
      </c>
    </row>
    <row s="1821" customFormat="1" customHeight="1" ht="21">
      <c r="A9" s="760"/>
      <c r="B9" s="419"/>
      <c r="C9" s="760"/>
      <c r="D9" s="166"/>
      <c r="E9" s="779" t="s">
        <v>90</v>
      </c>
      <c r="F9" s="779"/>
      <c r="G9" s="174" t="s">
        <v>91</v>
      </c>
      <c r="H9" s="174" t="s">
        <v>91</v>
      </c>
      <c r="I9" s="174" t="s">
        <v>87</v>
      </c>
      <c r="J9" s="157"/>
      <c r="K9" s="157"/>
      <c r="L9" s="157"/>
      <c r="M9" s="157"/>
      <c r="N9" s="228"/>
      <c r="O9" s="157"/>
      <c r="P9" s="227"/>
      <c r="Q9" s="227"/>
      <c r="R9" s="227"/>
      <c r="S9" s="227"/>
      <c r="AC9" s="118">
        <v>20</v>
      </c>
    </row>
    <row customHeight="1" ht="11.25">
      <c r="D10" s="178"/>
      <c r="E10" s="780" t="s">
        <v>92</v>
      </c>
      <c r="F10" s="780"/>
      <c r="G10" s="225" t="s">
        <v>93</v>
      </c>
      <c r="H10" s="225" t="s">
        <v>94</v>
      </c>
      <c r="I10" s="225" t="s">
        <v>95</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96</v>
      </c>
      <c r="K11" s="157"/>
      <c r="L11" s="157"/>
      <c r="M11" s="157" t="s">
        <v>97</v>
      </c>
      <c r="N11" s="228" t="s">
        <v>98</v>
      </c>
      <c r="O11" s="157" t="s">
        <v>99</v>
      </c>
      <c r="P11" s="227"/>
      <c r="Q11" s="227"/>
      <c r="R11" s="227"/>
      <c r="S11" s="227"/>
      <c r="AC11" s="118">
        <v>1</v>
      </c>
    </row>
    <row s="1821" customFormat="1" customHeight="1" ht="15">
      <c r="A12" s="2101">
        <v>1</v>
      </c>
      <c r="B12" s="419"/>
      <c r="C12" s="760"/>
      <c r="D12" s="784"/>
      <c r="E12" s="221">
        <f>A12</f>
        <v>1</v>
      </c>
      <c r="F12" s="804" t="s">
        <v>100</v>
      </c>
      <c r="G12" s="542" t="s">
        <v>101</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102</v>
      </c>
      <c r="G13" s="795" t="s">
        <v>101</v>
      </c>
      <c r="H13" s="795" t="s">
        <v>101</v>
      </c>
      <c r="I13" s="793" t="s">
        <v>103</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104</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105</v>
      </c>
      <c r="H15" s="180"/>
      <c r="I15" s="181"/>
      <c r="J15" s="251"/>
      <c r="K15" s="157"/>
      <c r="L15" s="157"/>
      <c r="M15" s="157"/>
      <c r="N15" s="228" t="s">
        <v>106</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84</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E029A13-1862-AB06-77FD-0.44A4E742}" mc:Ignorable="x14ac xr xr2 xr3">
  <sheetPr>
    <tabColor rgb="FFCCCCFF"/>
  </sheetPr>
  <dimension ref="A1:AM17"/>
  <sheetViews>
    <sheetView topLeftCell="A1" showGridLines="0" zoomScale="90" workbookViewId="0">
      <selection activeCell="A1" sqref="A1"/>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107</v>
      </c>
      <c r="E9" s="2129"/>
      <c r="F9" s="2130" t="s">
        <v>108</v>
      </c>
      <c r="G9" s="2131"/>
      <c r="H9" s="2131"/>
      <c r="I9" s="2131"/>
      <c r="J9" s="2134" t="s">
        <v>109</v>
      </c>
      <c r="K9" s="2134"/>
      <c r="L9" s="2134"/>
      <c r="M9" s="2134"/>
      <c r="AM9" s="585">
        <v>18</v>
      </c>
    </row>
    <row customHeight="1" ht="24">
      <c r="A10" s="2128"/>
      <c r="B10" s="594"/>
      <c r="C10" s="527"/>
      <c r="D10" s="525" t="s">
        <v>90</v>
      </c>
      <c r="E10" s="525" t="s">
        <v>91</v>
      </c>
      <c r="F10" s="525" t="s">
        <v>110</v>
      </c>
      <c r="G10" s="2135" t="s">
        <v>90</v>
      </c>
      <c r="H10" s="2136"/>
      <c r="I10" s="525" t="s">
        <v>91</v>
      </c>
      <c r="J10" s="525" t="s">
        <v>110</v>
      </c>
      <c r="K10" s="2135" t="s">
        <v>90</v>
      </c>
      <c r="L10" s="2136"/>
      <c r="M10" s="525" t="s">
        <v>91</v>
      </c>
      <c r="N10" s="1629"/>
      <c r="AM10" s="585">
        <v>23</v>
      </c>
    </row>
    <row s="1855" customFormat="1" customHeight="1" ht="11.25" hidden="1">
      <c r="A11" s="595"/>
      <c r="B11" s="595"/>
      <c r="C11" s="595"/>
      <c r="D11" s="596" t="s">
        <v>111</v>
      </c>
      <c r="E11" s="596" t="s">
        <v>112</v>
      </c>
      <c r="F11" s="596" t="s">
        <v>92</v>
      </c>
      <c r="G11" s="2117" t="s">
        <v>93</v>
      </c>
      <c r="H11" s="2118"/>
      <c r="I11" s="596" t="s">
        <v>113</v>
      </c>
      <c r="J11" s="596" t="s">
        <v>94</v>
      </c>
      <c r="K11" s="2119" t="s">
        <v>95</v>
      </c>
      <c r="L11" s="2120"/>
      <c r="M11" s="596" t="s">
        <v>114</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115</v>
      </c>
      <c r="P12" s="1415" t="s">
        <v>116</v>
      </c>
      <c r="Q12" s="1415" t="s">
        <v>117</v>
      </c>
      <c r="R12" s="1415" t="s">
        <v>118</v>
      </c>
      <c r="AM12" s="585">
        <v>1</v>
      </c>
    </row>
    <row s="1855" customFormat="1" customHeight="1" ht="15.75">
      <c r="A13" s="295"/>
      <c r="B13" s="295"/>
      <c r="C13" s="528"/>
      <c r="D13" s="2110" t="s">
        <v>111</v>
      </c>
      <c r="E13" s="2111"/>
      <c r="F13" s="2114" t="s">
        <v>68</v>
      </c>
      <c r="G13" s="2115"/>
      <c r="H13" s="2116">
        <v>1</v>
      </c>
      <c r="I13" s="2107" t="str">
        <f>IF(U13="","",INDEX(TERRITORY_MR_LIST,MATCH(U13,TERRITORY_LIST_ID,0)))</f>
        <v/>
      </c>
      <c r="J13" s="2109" t="s">
        <v>19</v>
      </c>
      <c r="K13" s="604"/>
      <c r="L13" s="529" t="s">
        <v>111</v>
      </c>
      <c r="M13" s="605" t="s">
        <v>28</v>
      </c>
      <c r="N13" s="814"/>
      <c r="O13" s="1418" t="s">
        <v>119</v>
      </c>
      <c r="P13" s="1415">
        <f>$E$13</f>
        <v>0</v>
      </c>
      <c r="Q13" s="1415" t="str">
        <f>IF($F$13="нет","без дифференциации",$I$13)</f>
        <v/>
      </c>
      <c r="R13" s="1415" t="str">
        <f>IF($J$13="нет","без дифференциации",M13)</f>
        <v>без дифференциации</v>
      </c>
      <c r="S13" s="1418"/>
      <c r="T13" s="1418"/>
      <c r="U13" s="1268"/>
      <c r="V13" s="1268"/>
      <c r="W13" s="1268"/>
      <c r="X13" s="1268"/>
      <c r="Y13" s="606" t="s">
        <v>120</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121</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122</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123</v>
      </c>
      <c r="F16" s="179"/>
      <c r="G16" s="179"/>
      <c r="H16" s="179"/>
      <c r="I16" s="179"/>
      <c r="J16" s="179"/>
      <c r="K16" s="179" t="s">
        <v>28</v>
      </c>
      <c r="L16" s="179"/>
      <c r="M16" s="610"/>
      <c r="N16" s="1629"/>
      <c r="AM16" s="585">
        <v>15</v>
      </c>
    </row>
    <row customHeight="1" ht="11.25" hidden="1">
      <c r="A17" s="585" t="s">
        <v>84</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D594B3-264F-6F8B-04AD-0.8BF18D97}" mc:Ignorable="x14ac xr xr2 xr3">
  <sheetPr>
    <tabColor rgb="FFCCCCFF"/>
  </sheetPr>
  <dimension ref="A1:AR146"/>
  <sheetViews>
    <sheetView topLeftCell="C4" showGridLines="0" zoomScale="90" workbookViewId="0" tabSelected="1">
      <selection activeCell="V18" sqref="V18"/>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customWidth="1"/>
    <col min="21" max="21" style="1855" width="5.7109375" customWidth="1"/>
    <col min="22" max="22" style="1855" width="34.421875"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90</v>
      </c>
      <c r="E9" s="2103" t="s">
        <v>124</v>
      </c>
      <c r="F9" s="2105"/>
      <c r="G9" s="2129" t="s">
        <v>107</v>
      </c>
      <c r="H9" s="2129" t="s">
        <v>90</v>
      </c>
      <c r="I9" s="2129"/>
      <c r="J9" s="2129" t="s">
        <v>125</v>
      </c>
      <c r="K9" s="2157" t="s">
        <v>126</v>
      </c>
      <c r="L9" s="2157"/>
      <c r="M9" s="2157"/>
      <c r="N9" s="2157"/>
      <c r="O9" s="2157" t="s">
        <v>127</v>
      </c>
      <c r="P9" s="2157"/>
      <c r="Q9" s="2157"/>
      <c r="R9" s="2157"/>
      <c r="S9" s="2157" t="s">
        <v>128</v>
      </c>
      <c r="T9" s="2157"/>
      <c r="U9" s="2157"/>
      <c r="V9" s="2157"/>
      <c r="W9" s="2129" t="s">
        <v>129</v>
      </c>
      <c r="AR9" s="106">
        <v>27</v>
      </c>
    </row>
    <row customHeight="1" ht="31.5">
      <c r="D10" s="2129"/>
      <c r="E10" s="1286" t="s">
        <v>91</v>
      </c>
      <c r="F10" s="1286" t="s">
        <v>130</v>
      </c>
      <c r="G10" s="2129"/>
      <c r="H10" s="2129"/>
      <c r="I10" s="2129"/>
      <c r="J10" s="2129"/>
      <c r="K10" s="112" t="s">
        <v>110</v>
      </c>
      <c r="L10" s="2129" t="s">
        <v>90</v>
      </c>
      <c r="M10" s="2129"/>
      <c r="N10" s="112" t="s">
        <v>131</v>
      </c>
      <c r="O10" s="112" t="s">
        <v>110</v>
      </c>
      <c r="P10" s="2129" t="s">
        <v>90</v>
      </c>
      <c r="Q10" s="2129"/>
      <c r="R10" s="112" t="s">
        <v>131</v>
      </c>
      <c r="S10" s="285" t="s">
        <v>110</v>
      </c>
      <c r="T10" s="2129" t="s">
        <v>90</v>
      </c>
      <c r="U10" s="2129"/>
      <c r="V10" s="285" t="s">
        <v>91</v>
      </c>
      <c r="W10" s="2129"/>
      <c r="Z10" s="1261" t="s">
        <v>132</v>
      </c>
      <c r="AA10" s="1261" t="s">
        <v>133</v>
      </c>
      <c r="AB10" s="1261" t="s">
        <v>134</v>
      </c>
      <c r="AC10" s="1261" t="s">
        <v>135</v>
      </c>
      <c r="AD10" s="1261" t="s">
        <v>136</v>
      </c>
      <c r="AE10" s="1261" t="s">
        <v>137</v>
      </c>
      <c r="AF10" s="1261" t="s">
        <v>138</v>
      </c>
      <c r="AG10" s="1261" t="s">
        <v>139</v>
      </c>
      <c r="AH10" s="1261" t="s">
        <v>140</v>
      </c>
      <c r="AI10" s="1261" t="s">
        <v>141</v>
      </c>
      <c r="AJ10" s="1261" t="s">
        <v>142</v>
      </c>
      <c r="AK10" s="1261" t="s">
        <v>143</v>
      </c>
      <c r="AL10" s="1261" t="s">
        <v>144</v>
      </c>
      <c r="AM10" s="1261" t="s">
        <v>145</v>
      </c>
      <c r="AN10" s="1261" t="s">
        <v>146</v>
      </c>
      <c r="AO10" s="1261" t="s">
        <v>147</v>
      </c>
      <c r="AP10" s="1261" t="s">
        <v>148</v>
      </c>
      <c r="AQ10" s="1261" t="s">
        <v>149</v>
      </c>
      <c r="AR10" s="106">
        <v>30</v>
      </c>
    </row>
    <row s="1626" customFormat="1" customHeight="1" ht="12" hidden="1">
      <c r="D11" s="1251" t="s">
        <v>111</v>
      </c>
      <c r="E11" s="1251" t="s">
        <v>112</v>
      </c>
      <c r="F11" s="1251"/>
      <c r="G11" s="1251" t="s">
        <v>92</v>
      </c>
      <c r="H11" s="2158" t="s">
        <v>113</v>
      </c>
      <c r="I11" s="2158"/>
      <c r="J11" s="1251" t="s">
        <v>94</v>
      </c>
      <c r="K11" s="1251" t="s">
        <v>95</v>
      </c>
      <c r="L11" s="2158" t="s">
        <v>114</v>
      </c>
      <c r="M11" s="2158"/>
      <c r="N11" s="1251" t="s">
        <v>150</v>
      </c>
      <c r="O11" s="1251" t="s">
        <v>151</v>
      </c>
      <c r="P11" s="2158" t="s">
        <v>152</v>
      </c>
      <c r="Q11" s="2158"/>
      <c r="R11" s="1251" t="s">
        <v>153</v>
      </c>
      <c r="S11" s="1251" t="s">
        <v>152</v>
      </c>
      <c r="T11" s="2158" t="s">
        <v>153</v>
      </c>
      <c r="U11" s="2158"/>
      <c r="V11" s="1251" t="s">
        <v>154</v>
      </c>
      <c r="W11" s="1251" t="s">
        <v>155</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c r="A13" s="323"/>
      <c r="C13" s="211"/>
      <c r="D13" s="2137">
        <v>1</v>
      </c>
      <c r="E13" s="2145" t="s">
        <v>156</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157</v>
      </c>
      <c r="AD13" s="1269" t="s">
        <v>158</v>
      </c>
      <c r="AE13" s="1269" t="s">
        <v>159</v>
      </c>
      <c r="AF13" s="1269" t="s">
        <v>160</v>
      </c>
      <c r="AG13" s="1269" t="s">
        <v>161</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c r="A18" s="323"/>
      <c r="C18" s="211"/>
      <c r="D18" s="2137">
        <v>2</v>
      </c>
      <c r="E18" s="2166" t="s">
        <v>162</v>
      </c>
      <c r="F18" s="2147" t="s">
        <v>68</v>
      </c>
      <c r="G18" s="2633" t="str">
        <f>INDEX(VD_NAME_LIST,MATCH("4190068",VD_ID_LIST,0))&amp;"; "&amp;INDEX(VD_NAME_LIST,MATCH("4190070",VD_ID_LIST,0))</f>
        <v>Передача. Тепловая энергия; Сбыт. Тепловая энергия</v>
      </c>
      <c r="H18" s="2555"/>
      <c r="I18" s="2555">
        <v>1</v>
      </c>
      <c r="J18" s="2503" t="s">
        <v>163</v>
      </c>
      <c r="K18" s="2187" t="s">
        <v>68</v>
      </c>
      <c r="L18" s="2110"/>
      <c r="M18" s="2110" t="s">
        <v>111</v>
      </c>
      <c r="N18" s="2506" t="str">
        <f>IF(Z18="","",INDEX(TERRITORY_MR_LIST,MATCH(Z18,TERRITORY_LIST_ID,0)))</f>
        <v>городской округ город Волгореченск</v>
      </c>
      <c r="O18" s="2187" t="s">
        <v>68</v>
      </c>
      <c r="P18" s="2110"/>
      <c r="Q18" s="2110" t="s">
        <v>111</v>
      </c>
      <c r="R18" s="2573" t="s">
        <v>164</v>
      </c>
      <c r="S18" s="2109" t="s">
        <v>68</v>
      </c>
      <c r="T18" s="2110"/>
      <c r="U18" s="2110" t="s">
        <v>111</v>
      </c>
      <c r="V18" s="2573" t="s">
        <v>165</v>
      </c>
      <c r="W18" s="2503"/>
      <c r="X18" s="1269"/>
      <c r="Y18" s="1269"/>
      <c r="Z18" s="1269" t="s">
        <v>100</v>
      </c>
      <c r="AA18" s="1269"/>
      <c r="AB18" s="1269" t="s">
        <v>166</v>
      </c>
      <c r="AC18" s="1269" t="s">
        <v>167</v>
      </c>
      <c r="AD18" s="1269" t="s">
        <v>168</v>
      </c>
      <c r="AE18" s="1269" t="s">
        <v>169</v>
      </c>
      <c r="AF18" s="1269" t="s">
        <v>170</v>
      </c>
      <c r="AG18" s="1269" t="s">
        <v>171</v>
      </c>
      <c r="AH18" s="1269" t="str">
        <f>IF($E$18=0,"",$E$18)</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AI18" s="1269" t="str">
        <f>IF($G$18=0,"",$G$18)</f>
        <v>Передача. Тепловая энергия; Сбыт. Тепловая энергия</v>
      </c>
      <c r="AJ18" s="1269" t="str">
        <f>IF($J$18=0,"",$J$18)</f>
        <v>Тариф на тепловую энергию</v>
      </c>
      <c r="AK18" s="1269" t="str">
        <f>IF($K$18="нет","без дифференциации",IF($N$18=0,"",$N$18))</f>
        <v>городской округ город Волгореченск</v>
      </c>
      <c r="AL18" s="1269" t="str">
        <f>IF($O$18="нет","без дифференциации",IF($R$18=0,"",$R$18))</f>
        <v>ЦС ТС г.Волгореченск</v>
      </c>
      <c r="AM18" s="1269" t="str">
        <f>IF($S$18="нет","без дифференциации",IF($V$18=0,"",$V$18))</f>
        <v>источник тепловой энергии - КГРЭС</v>
      </c>
      <c r="AN18" s="1774">
        <f>$I$18</f>
        <v>1</v>
      </c>
      <c r="AO18" s="1269" t="str">
        <f>$I$18&amp;"."&amp;$M$18</f>
        <v>1.1</v>
      </c>
      <c r="AP18" s="1261" t="str">
        <f>$I$18&amp;"."&amp;$M$18&amp;"."&amp;$Q$18</f>
        <v>1.1.1</v>
      </c>
      <c r="AQ18" s="1261" t="str">
        <f>$I$18&amp;"."&amp;$M$18&amp;"."&amp;$Q$18&amp;"."&amp;$U$18</f>
        <v>1.1.1.1</v>
      </c>
      <c r="AR18" s="1285">
        <v>0</v>
      </c>
    </row>
    <row s="1855" customFormat="1" customHeight="1" ht="17.25">
      <c r="A19" s="323"/>
      <c r="C19" s="322"/>
      <c r="D19" s="2137"/>
      <c r="E19" s="2166"/>
      <c r="F19" s="2148"/>
      <c r="G19" s="2633"/>
      <c r="H19" s="2555"/>
      <c r="I19" s="2555"/>
      <c r="J19" s="2503"/>
      <c r="K19" s="2188"/>
      <c r="L19" s="2110"/>
      <c r="M19" s="2110"/>
      <c r="N19" s="2506"/>
      <c r="O19" s="2188"/>
      <c r="P19" s="2110"/>
      <c r="Q19" s="2110"/>
      <c r="R19" s="2573"/>
      <c r="S19" s="2109"/>
      <c r="T19" s="2634"/>
      <c r="U19" s="2635"/>
      <c r="V19" s="2636" t="s">
        <v>172</v>
      </c>
      <c r="W19" s="2637"/>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c r="A20" s="323"/>
      <c r="C20" s="322"/>
      <c r="D20" s="2138"/>
      <c r="E20" s="2167"/>
      <c r="F20" s="2148"/>
      <c r="G20" s="2638"/>
      <c r="H20" s="2505"/>
      <c r="I20" s="2505"/>
      <c r="J20" s="2535"/>
      <c r="K20" s="2188"/>
      <c r="L20" s="2505"/>
      <c r="M20" s="2505"/>
      <c r="N20" s="2507"/>
      <c r="O20" s="2114"/>
      <c r="P20" s="2634"/>
      <c r="Q20" s="2635"/>
      <c r="R20" s="2639" t="s">
        <v>173</v>
      </c>
      <c r="S20" s="2640"/>
      <c r="T20" s="2640"/>
      <c r="U20" s="2640"/>
      <c r="V20" s="2640"/>
      <c r="W20" s="2637"/>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c r="A21" s="323"/>
      <c r="C21" s="322"/>
      <c r="D21" s="2138"/>
      <c r="E21" s="2167"/>
      <c r="F21" s="2148"/>
      <c r="G21" s="2638"/>
      <c r="H21" s="2505"/>
      <c r="I21" s="2505"/>
      <c r="J21" s="2535"/>
      <c r="K21" s="2114"/>
      <c r="L21" s="2634"/>
      <c r="M21" s="2635"/>
      <c r="N21" s="2641" t="s">
        <v>174</v>
      </c>
      <c r="O21" s="2635"/>
      <c r="P21" s="2635"/>
      <c r="Q21" s="2635"/>
      <c r="R21" s="2635"/>
      <c r="S21" s="2640"/>
      <c r="T21" s="2640"/>
      <c r="U21" s="2640"/>
      <c r="V21" s="2640"/>
      <c r="W21" s="2637"/>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c r="A22" s="323"/>
      <c r="C22" s="322"/>
      <c r="D22" s="2138"/>
      <c r="E22" s="2167"/>
      <c r="F22" s="2149"/>
      <c r="G22" s="2638"/>
      <c r="H22" s="2634"/>
      <c r="I22" s="2635"/>
      <c r="J22" s="2642" t="s">
        <v>175</v>
      </c>
      <c r="K22" s="2635"/>
      <c r="L22" s="2635"/>
      <c r="M22" s="2635"/>
      <c r="N22" s="2635"/>
      <c r="O22" s="2635"/>
      <c r="P22" s="2635"/>
      <c r="Q22" s="2635"/>
      <c r="R22" s="2635"/>
      <c r="S22" s="2640"/>
      <c r="T22" s="2640"/>
      <c r="U22" s="2640"/>
      <c r="V22" s="2640"/>
      <c r="W22" s="2637"/>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176</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t="s">
        <v>28</v>
      </c>
      <c r="AA23" s="1269" t="s">
        <v>28</v>
      </c>
      <c r="AB23" s="1269" t="s">
        <v>28</v>
      </c>
      <c r="AC23" s="1269" t="s">
        <v>28</v>
      </c>
      <c r="AD23" s="1269" t="s">
        <v>28</v>
      </c>
      <c r="AE23" s="1269" t="s">
        <v>28</v>
      </c>
      <c r="AF23" s="1269" t="s">
        <v>28</v>
      </c>
      <c r="AG23" s="1269" t="s">
        <v>28</v>
      </c>
      <c r="AH23" s="1269" t="s">
        <v>28</v>
      </c>
      <c r="AI23" s="1269" t="s">
        <v>28</v>
      </c>
      <c r="AJ23" s="1269" t="s">
        <v>28</v>
      </c>
      <c r="AK23" s="1269" t="s">
        <v>28</v>
      </c>
      <c r="AL23" s="1269" t="s">
        <v>28</v>
      </c>
      <c r="AM23" s="1269" t="s">
        <v>28</v>
      </c>
      <c r="AN23" s="1774" t="s">
        <v>28</v>
      </c>
      <c r="AO23" s="1269" t="s">
        <v>28</v>
      </c>
      <c r="AP23" s="1268" t="s">
        <v>28</v>
      </c>
      <c r="AQ23" s="1268" t="s">
        <v>28</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c r="A28" s="323"/>
      <c r="C28" s="211"/>
      <c r="D28" s="2137">
        <v>3</v>
      </c>
      <c r="E28" s="2145" t="s">
        <v>177</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178</v>
      </c>
      <c r="AD28" s="1269" t="s">
        <v>179</v>
      </c>
      <c r="AE28" s="1269" t="s">
        <v>180</v>
      </c>
      <c r="AF28" s="1269" t="s">
        <v>181</v>
      </c>
      <c r="AG28" s="1269" t="s">
        <v>182</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c r="A33" s="323"/>
      <c r="C33" s="211"/>
      <c r="D33" s="2137">
        <v>4</v>
      </c>
      <c r="E33" s="2145" t="s">
        <v>183</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184</v>
      </c>
      <c r="AD33" s="1269" t="s">
        <v>185</v>
      </c>
      <c r="AE33" s="1269" t="s">
        <v>186</v>
      </c>
      <c r="AF33" s="1269" t="s">
        <v>187</v>
      </c>
      <c r="AG33" s="1269" t="s">
        <v>188</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c r="A38" s="323"/>
      <c r="C38" s="211"/>
      <c r="D38" s="2137">
        <v>5</v>
      </c>
      <c r="E38" s="2145" t="s">
        <v>189</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190</v>
      </c>
      <c r="AD38" s="1269" t="s">
        <v>191</v>
      </c>
      <c r="AE38" s="1269" t="s">
        <v>192</v>
      </c>
      <c r="AF38" s="1269" t="s">
        <v>193</v>
      </c>
      <c r="AG38" s="1269" t="s">
        <v>194</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c r="A43" s="323"/>
      <c r="C43" s="211"/>
      <c r="D43" s="2137">
        <v>6</v>
      </c>
      <c r="E43" s="2145" t="s">
        <v>195</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196</v>
      </c>
      <c r="AD43" s="1269" t="s">
        <v>197</v>
      </c>
      <c r="AE43" s="1269" t="s">
        <v>198</v>
      </c>
      <c r="AF43" s="1269" t="s">
        <v>199</v>
      </c>
      <c r="AG43" s="1269" t="s">
        <v>200</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c r="A48" s="323"/>
      <c r="C48" s="211"/>
      <c r="D48" s="2168">
        <v>7</v>
      </c>
      <c r="E48" s="2171" t="s">
        <v>201</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202</v>
      </c>
      <c r="AD48" s="1269" t="s">
        <v>203</v>
      </c>
      <c r="AE48" s="1269" t="s">
        <v>204</v>
      </c>
      <c r="AF48" s="1269" t="s">
        <v>205</v>
      </c>
      <c r="AG48" s="1269" t="s">
        <v>206</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c r="A53" s="323"/>
      <c r="C53" s="211"/>
      <c r="D53" s="2137">
        <v>8</v>
      </c>
      <c r="E53" s="2145" t="s">
        <v>207</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208</v>
      </c>
      <c r="AD53" s="1269" t="s">
        <v>209</v>
      </c>
      <c r="AE53" s="1269" t="s">
        <v>210</v>
      </c>
      <c r="AF53" s="1269" t="s">
        <v>211</v>
      </c>
      <c r="AG53" s="1269" t="s">
        <v>212</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c r="A58" s="323"/>
      <c r="C58" s="211"/>
      <c r="D58" s="2137">
        <v>9</v>
      </c>
      <c r="E58" s="2145" t="s">
        <v>213</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214</v>
      </c>
      <c r="AD58" s="1269" t="s">
        <v>215</v>
      </c>
      <c r="AE58" s="1269" t="s">
        <v>216</v>
      </c>
      <c r="AF58" s="1269" t="s">
        <v>217</v>
      </c>
      <c r="AG58" s="1269" t="s">
        <v>218</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219</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220</v>
      </c>
      <c r="AD63" s="1269" t="s">
        <v>221</v>
      </c>
      <c r="AE63" s="1269" t="s">
        <v>222</v>
      </c>
      <c r="AF63" s="1269" t="s">
        <v>223</v>
      </c>
      <c r="AG63" s="1269" t="s">
        <v>224</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c r="AR68" s="106">
        <v>0</v>
      </c>
    </row>
    <row customHeight="1" ht="11.25">
      <c r="E69" s="2176" t="s">
        <v>225</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c r="E70" s="2174" t="s">
        <v>226</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c r="E71" s="2174" t="s">
        <v>227</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c r="E72" s="2174" t="s">
        <v>228</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c r="E73" s="2174" t="s">
        <v>229</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c r="E74" s="342"/>
      <c r="F74" s="1287"/>
      <c r="G74" s="159"/>
      <c r="H74" s="159"/>
      <c r="I74" s="159"/>
      <c r="J74" s="159"/>
      <c r="K74" s="159"/>
      <c r="L74" s="159"/>
      <c r="M74" s="159"/>
      <c r="N74" s="159"/>
      <c r="O74" s="159"/>
      <c r="P74" s="159"/>
      <c r="Q74" s="159"/>
      <c r="R74" s="159"/>
      <c r="S74" s="159"/>
      <c r="T74" s="159"/>
      <c r="U74" s="159"/>
      <c r="V74" s="159"/>
      <c r="W74" s="159"/>
      <c r="AR74" s="106">
        <v>0</v>
      </c>
    </row>
    <row customHeight="1" ht="15">
      <c r="E75" s="2176" t="s">
        <v>230</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c r="E76" s="2174" t="s">
        <v>231</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c r="E77" s="2174" t="s">
        <v>232</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233</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234</v>
      </c>
      <c r="AD79" s="1269" t="s">
        <v>235</v>
      </c>
      <c r="AE79" s="1269" t="s">
        <v>236</v>
      </c>
      <c r="AF79" s="1269" t="s">
        <v>237</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238</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239</v>
      </c>
      <c r="AD84" s="1269" t="s">
        <v>240</v>
      </c>
      <c r="AE84" s="1269" t="s">
        <v>241</v>
      </c>
      <c r="AF84" s="1269" t="s">
        <v>242</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243</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244</v>
      </c>
      <c r="AD89" s="1269" t="s">
        <v>245</v>
      </c>
      <c r="AE89" s="1269" t="s">
        <v>246</v>
      </c>
      <c r="AF89" s="1269" t="s">
        <v>247</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248</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249</v>
      </c>
      <c r="AD94" s="1269" t="s">
        <v>250</v>
      </c>
      <c r="AE94" s="1269" t="s">
        <v>251</v>
      </c>
      <c r="AF94" s="1269" t="s">
        <v>252</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253</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254</v>
      </c>
      <c r="AD99" s="1269" t="s">
        <v>255</v>
      </c>
      <c r="AE99" s="1269" t="s">
        <v>256</v>
      </c>
      <c r="AF99" s="1269" t="s">
        <v>257</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258</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259</v>
      </c>
      <c r="AD105" s="1269" t="s">
        <v>260</v>
      </c>
      <c r="AE105" s="1269" t="s">
        <v>261</v>
      </c>
      <c r="AF105" s="1269" t="s">
        <v>262</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263</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264</v>
      </c>
      <c r="AD110" s="1269" t="s">
        <v>265</v>
      </c>
      <c r="AE110" s="1269" t="s">
        <v>266</v>
      </c>
      <c r="AF110" s="1269" t="s">
        <v>267</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268</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269</v>
      </c>
      <c r="AD115" s="1269" t="s">
        <v>270</v>
      </c>
      <c r="AE115" s="1269" t="s">
        <v>271</v>
      </c>
      <c r="AF115" s="1269" t="s">
        <v>272</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273</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274</v>
      </c>
      <c r="AD121" s="1269" t="s">
        <v>275</v>
      </c>
      <c r="AE121" s="1269" t="s">
        <v>276</v>
      </c>
      <c r="AF121" s="1269" t="s">
        <v>277</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278</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279</v>
      </c>
      <c r="AD126" s="1269" t="s">
        <v>280</v>
      </c>
      <c r="AE126" s="1269" t="s">
        <v>281</v>
      </c>
      <c r="AF126" s="1269" t="s">
        <v>282</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283</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284</v>
      </c>
      <c r="AD131" s="1269" t="s">
        <v>285</v>
      </c>
      <c r="AE131" s="1269" t="s">
        <v>286</v>
      </c>
      <c r="AF131" s="1269" t="s">
        <v>287</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84</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M28:M30"/>
    <mergeCell ref="R28:R29"/>
    <mergeCell ref="O28:O30"/>
    <mergeCell ref="D28:D32"/>
    <mergeCell ref="E28:E32"/>
    <mergeCell ref="F28:F32"/>
    <mergeCell ref="H28:H31"/>
    <mergeCell ref="I28:I31"/>
    <mergeCell ref="J28:J31"/>
    <mergeCell ref="G28:G32"/>
    <mergeCell ref="D23:D27"/>
    <mergeCell ref="E23:E27"/>
    <mergeCell ref="F23:F27"/>
    <mergeCell ref="L10:M10"/>
    <mergeCell ref="P10:Q10"/>
    <mergeCell ref="L11:M11"/>
    <mergeCell ref="P11:Q11"/>
    <mergeCell ref="K28:K31"/>
    <mergeCell ref="L28:L30"/>
    <mergeCell ref="P13:P14"/>
    <mergeCell ref="P28:P29"/>
    <mergeCell ref="Q28:Q29"/>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O18:O20"/>
    <mergeCell ref="S18:S19"/>
    <mergeCell ref="P18:P19"/>
    <mergeCell ref="Q18:Q19"/>
    <mergeCell ref="R18:R19"/>
    <mergeCell ref="K18:K21"/>
    <mergeCell ref="M18:M20"/>
    <mergeCell ref="L18:L20"/>
    <mergeCell ref="N18:N20"/>
    <mergeCell ref="J18:J21"/>
    <mergeCell ref="H18:H21"/>
    <mergeCell ref="I18:I21"/>
  </mergeCells>
  <dataValidations count="18">
    <dataValidation allowBlank="1" showInputMessage="1" showErrorMessage="1" prompt="Для выбора выполните двойной щелчок левой клавиши мыши по соответствующей ячейке." sqref="K38:K39 K13:K14 K48:K49 O48:O49 S48:S49 K43:K44 K28:K29 O38:O39 O43:O44 O28:O29 S38:S3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43:J44 J28:J29 R38:R39 R13:R14 R43:R44 R28:R29 V38:W38 V13:W13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type="textLength" operator="lessThanOrEqual" allowBlank="1" showInputMessage="1" showErrorMessage="1" errorTitle="Ошибка" error="Допускается ввод не более 900 символов!" sqref="J18">
      <formula1>900</formula1>
    </dataValidation>
    <dataValidation allowBlank="1" showInputMessage="1" showErrorMessage="1" prompt="Для выбора выполните двойной щелчок левой клавиши мыши по соответствующей ячейке." sqref="K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
    <dataValidation allowBlank="1" showInputMessage="1" showErrorMessage="1" prompt="Для выбора выполните двойной щелчок левой клавиши мыши по соответствующей ячейке." sqref="O18"/>
    <dataValidation type="textLength" operator="lessThanOrEqual" allowBlank="1" showInputMessage="1" showErrorMessage="1" errorTitle="Ошибка" error="Допускается ввод не более 900 символов!" sqref="R18">
      <formula1>900</formula1>
    </dataValidation>
    <dataValidation allowBlank="1" showInputMessage="1" showErrorMessage="1" prompt="Для выбора выполните двойной щелчок левой клавиши мыши по соответствующей ячейке." sqref="S18"/>
    <dataValidation type="textLength" operator="lessThanOrEqual" allowBlank="1" showInputMessage="1" showErrorMessage="1" errorTitle="Ошибка" error="Допускается ввод не более 900 символов!" sqref="V18">
      <formula1>900</formula1>
    </dataValidation>
    <dataValidation type="textLength" operator="lessThanOrEqual" allowBlank="1" showInputMessage="1" showErrorMessage="1" errorTitle="Ошибка" error="Допускается ввод не более 900 символов!" sqref="W18">
      <formula1>900</formula1>
    </dataValidation>
    <dataValidation type="textLength" operator="lessThanOrEqual" allowBlank="1" showInputMessage="1" showErrorMessage="1" errorTitle="Ошибка" error="Допускается ввод не более 900 символов!" sqref="J1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
    <dataValidation type="textLength" operator="lessThanOrEqual" allowBlank="1" showInputMessage="1" showErrorMessage="1" errorTitle="Ошибка" error="Допускается ввод не более 900 символов!" sqref="R19">
      <formula1>900</formula1>
    </dataValidation>
    <dataValidation allowBlank="1" showInputMessage="1" showErrorMessage="1" prompt="Для выбора выполните двойной щелчок левой клавиши мыши по соответствующей ячейке." sqref="S1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12857A-7D9D-E955-E298-0.11247E79}"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288</v>
      </c>
      <c r="M2" s="1555" t="s">
        <v>289</v>
      </c>
      <c r="R2" s="1555" t="s">
        <v>290</v>
      </c>
      <c r="S2" s="1555" t="s">
        <v>289</v>
      </c>
      <c r="X2" s="1555" t="s">
        <v>288</v>
      </c>
      <c r="Y2" s="1555" t="s">
        <v>289</v>
      </c>
      <c r="AD2" s="1555" t="s">
        <v>288</v>
      </c>
      <c r="AE2" s="1555" t="s">
        <v>289</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291</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90</v>
      </c>
      <c r="E8" s="2129" t="s">
        <v>107</v>
      </c>
      <c r="F8" s="2194" t="s">
        <v>124</v>
      </c>
      <c r="G8" s="2195"/>
      <c r="H8" s="2194" t="s">
        <v>90</v>
      </c>
      <c r="I8" s="2195"/>
      <c r="J8" s="2129" t="s">
        <v>125</v>
      </c>
      <c r="K8" s="1558"/>
      <c r="L8" s="2198" t="s">
        <v>292</v>
      </c>
      <c r="M8" s="2198"/>
      <c r="N8" s="2198"/>
      <c r="O8" s="2198"/>
      <c r="P8" s="2198"/>
      <c r="Q8" s="1559"/>
      <c r="R8" s="2098" t="s">
        <v>293</v>
      </c>
      <c r="S8" s="2199"/>
      <c r="T8" s="2199"/>
      <c r="U8" s="2199"/>
      <c r="V8" s="2199"/>
      <c r="W8" s="1559"/>
      <c r="X8" s="2200" t="s">
        <v>294</v>
      </c>
      <c r="Y8" s="2200"/>
      <c r="Z8" s="2200"/>
      <c r="AA8" s="2200"/>
      <c r="AB8" s="2200"/>
      <c r="AC8" s="1560"/>
      <c r="AD8" s="2129" t="s">
        <v>295</v>
      </c>
      <c r="AE8" s="2129"/>
      <c r="AF8" s="2129"/>
      <c r="AG8" s="2129"/>
      <c r="AH8" s="2103"/>
      <c r="AI8" s="2129" t="s">
        <v>296</v>
      </c>
      <c r="AJ8" s="1576"/>
      <c r="BM8" s="295">
        <v>32</v>
      </c>
    </row>
    <row customHeight="1" ht="23.25">
      <c r="D9" s="2129"/>
      <c r="E9" s="2129"/>
      <c r="F9" s="2177" t="s">
        <v>91</v>
      </c>
      <c r="G9" s="2177" t="s">
        <v>130</v>
      </c>
      <c r="H9" s="2196"/>
      <c r="I9" s="2197"/>
      <c r="J9" s="2103"/>
      <c r="K9" s="1561"/>
      <c r="L9" s="2129" t="s">
        <v>297</v>
      </c>
      <c r="M9" s="2103"/>
      <c r="N9" s="2194" t="s">
        <v>90</v>
      </c>
      <c r="O9" s="2195"/>
      <c r="P9" s="2129" t="s">
        <v>131</v>
      </c>
      <c r="Q9" s="1558"/>
      <c r="R9" s="2129" t="s">
        <v>297</v>
      </c>
      <c r="S9" s="2103"/>
      <c r="T9" s="2194" t="s">
        <v>90</v>
      </c>
      <c r="U9" s="2195"/>
      <c r="V9" s="2129" t="s">
        <v>131</v>
      </c>
      <c r="W9" s="1558"/>
      <c r="X9" s="2129" t="s">
        <v>297</v>
      </c>
      <c r="Y9" s="2103"/>
      <c r="Z9" s="2194" t="s">
        <v>90</v>
      </c>
      <c r="AA9" s="2195"/>
      <c r="AB9" s="2129" t="s">
        <v>298</v>
      </c>
      <c r="AC9" s="1558"/>
      <c r="AD9" s="2129" t="s">
        <v>297</v>
      </c>
      <c r="AE9" s="2103"/>
      <c r="AF9" s="2194" t="s">
        <v>90</v>
      </c>
      <c r="AG9" s="2195"/>
      <c r="AH9" s="2103" t="s">
        <v>298</v>
      </c>
      <c r="AI9" s="2129"/>
      <c r="AJ9" s="1576"/>
      <c r="BM9" s="295">
        <v>22</v>
      </c>
    </row>
    <row customHeight="1" ht="24">
      <c r="D10" s="2177"/>
      <c r="E10" s="2177"/>
      <c r="F10" s="2201"/>
      <c r="G10" s="2201"/>
      <c r="H10" s="2202"/>
      <c r="I10" s="2203"/>
      <c r="J10" s="2194"/>
      <c r="K10" s="1561"/>
      <c r="L10" s="1580" t="s">
        <v>299</v>
      </c>
      <c r="M10" s="1575" t="s">
        <v>300</v>
      </c>
      <c r="N10" s="2196"/>
      <c r="O10" s="2197"/>
      <c r="P10" s="2177"/>
      <c r="Q10" s="1558"/>
      <c r="R10" s="1580" t="s">
        <v>299</v>
      </c>
      <c r="S10" s="1575" t="s">
        <v>300</v>
      </c>
      <c r="T10" s="2196"/>
      <c r="U10" s="2197"/>
      <c r="V10" s="2177"/>
      <c r="W10" s="1558"/>
      <c r="X10" s="1580" t="s">
        <v>299</v>
      </c>
      <c r="Y10" s="1575" t="s">
        <v>300</v>
      </c>
      <c r="Z10" s="2196"/>
      <c r="AA10" s="2197"/>
      <c r="AB10" s="2177"/>
      <c r="AC10" s="1558"/>
      <c r="AD10" s="1580" t="s">
        <v>299</v>
      </c>
      <c r="AE10" s="1575" t="s">
        <v>300</v>
      </c>
      <c r="AF10" s="2196"/>
      <c r="AG10" s="2197"/>
      <c r="AH10" s="2194"/>
      <c r="AI10" s="2177"/>
      <c r="AJ10" s="1576"/>
      <c r="AK10" s="256" t="s">
        <v>301</v>
      </c>
      <c r="AL10" s="256" t="s">
        <v>132</v>
      </c>
      <c r="BM10" s="295">
        <v>23</v>
      </c>
    </row>
    <row customHeight="1" ht="15">
      <c r="D11" s="2185" t="s">
        <v>111</v>
      </c>
      <c r="E11" s="2181" t="s">
        <v>302</v>
      </c>
      <c r="F11" s="2181" t="s">
        <v>303</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112</v>
      </c>
      <c r="E17" s="2181" t="s">
        <v>302</v>
      </c>
      <c r="F17" s="2181" t="s">
        <v>304</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92</v>
      </c>
      <c r="E23" s="2181" t="s">
        <v>302</v>
      </c>
      <c r="F23" s="2181" t="s">
        <v>305</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100</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93</v>
      </c>
      <c r="E29" s="2181" t="s">
        <v>302</v>
      </c>
      <c r="F29" s="2181" t="s">
        <v>306</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113</v>
      </c>
      <c r="E35" s="2181" t="s">
        <v>302</v>
      </c>
      <c r="F35" s="2181" t="s">
        <v>307</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84</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B45DF-C697-FA8C-3606-0.4F4EA9BD}"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308</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309</v>
      </c>
      <c r="E8" s="2207"/>
      <c r="F8" s="2207"/>
      <c r="G8" s="2210" t="s">
        <v>310</v>
      </c>
      <c r="J8" s="457">
        <v>11</v>
      </c>
    </row>
    <row customHeight="1" ht="11.25">
      <c r="A9" s="459"/>
      <c r="B9" s="504"/>
      <c r="C9" s="459"/>
      <c r="D9" s="474" t="s">
        <v>90</v>
      </c>
      <c r="E9" s="448" t="s">
        <v>311</v>
      </c>
      <c r="F9" s="448" t="s">
        <v>312</v>
      </c>
      <c r="G9" s="2211"/>
      <c r="J9" s="457">
        <v>11</v>
      </c>
    </row>
    <row customHeight="1" ht="12" hidden="1">
      <c r="A10" s="459"/>
      <c r="B10" s="504"/>
      <c r="C10" s="459"/>
      <c r="D10" s="466"/>
      <c r="E10" s="466"/>
      <c r="F10" s="466"/>
      <c r="G10" s="466"/>
      <c r="J10" s="457">
        <v>0</v>
      </c>
    </row>
    <row customHeight="1" ht="22.5" hidden="1">
      <c r="A11" s="459"/>
      <c r="B11" s="504"/>
      <c r="C11" s="459"/>
      <c r="D11" s="1011" t="s">
        <v>111</v>
      </c>
      <c r="E11" s="1014" t="s">
        <v>313</v>
      </c>
      <c r="F11" s="1013" t="str">
        <f>IF(region_name="","",region_name)</f>
        <v>Костромская область</v>
      </c>
      <c r="G11" s="1014" t="s">
        <v>314</v>
      </c>
      <c r="H11" s="477"/>
      <c r="J11" s="457">
        <v>0</v>
      </c>
    </row>
    <row customHeight="1" ht="22.5" hidden="1">
      <c r="A12" s="459"/>
      <c r="B12" s="504"/>
      <c r="C12" s="459"/>
      <c r="D12" s="447" t="s">
        <v>111</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5" t="s">
        <v>315</v>
      </c>
      <c r="G12" s="476"/>
      <c r="H12" s="477"/>
      <c r="J12" s="457">
        <v>0</v>
      </c>
    </row>
    <row customHeight="1" ht="23.25">
      <c r="A13" s="459"/>
      <c r="B13" s="504"/>
      <c r="C13" s="459"/>
      <c r="D13" s="447" t="s">
        <v>111</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7"/>
      <c r="J13" s="457">
        <v>22</v>
      </c>
    </row>
    <row customHeight="1" ht="22.5" hidden="1">
      <c r="A14" s="459"/>
      <c r="B14" s="504"/>
      <c r="C14" s="459"/>
      <c r="D14" s="1011" t="s">
        <v>316</v>
      </c>
      <c r="E14" s="1012" t="s">
        <v>317</v>
      </c>
      <c r="F14" s="1013" t="str">
        <f>IF(inn="","",inn)</f>
        <v>4431002987</v>
      </c>
      <c r="G14" s="1014" t="s">
        <v>318</v>
      </c>
      <c r="H14" s="477"/>
      <c r="J14" s="457">
        <v>0</v>
      </c>
    </row>
    <row customHeight="1" ht="22.5" hidden="1">
      <c r="A15" s="459"/>
      <c r="B15" s="504"/>
      <c r="C15" s="459"/>
      <c r="D15" s="1011" t="s">
        <v>319</v>
      </c>
      <c r="E15" s="1012" t="s">
        <v>320</v>
      </c>
      <c r="F15" s="1013" t="str">
        <f>IF(kpp="","",kpp)</f>
        <v>443101001</v>
      </c>
      <c r="G15" s="1014" t="s">
        <v>321</v>
      </c>
      <c r="H15" s="477"/>
      <c r="J15" s="457">
        <v>0</v>
      </c>
    </row>
    <row customHeight="1" ht="39">
      <c r="A16" s="459"/>
      <c r="B16" s="504"/>
      <c r="C16" s="459"/>
      <c r="D16" s="447" t="s">
        <v>112</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92</v>
      </c>
      <c r="E17" s="444" t="str">
        <f>"Дата присвоения ОГРН"&amp;IF(TEMPLATE_SPHERE="TKO",""," (ОГРНИП)")</f>
        <v>Дата присвоения ОГРН (ОГРНИП)</v>
      </c>
      <c r="F17" s="1734" t="s">
        <v>28</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93</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322</v>
      </c>
      <c r="B19" s="504"/>
      <c r="C19" s="2215"/>
      <c r="D19" s="447" t="str">
        <f>A19</f>
        <v>5.1</v>
      </c>
      <c r="E19" s="444" t="s">
        <v>323</v>
      </c>
      <c r="F19" s="445" t="s">
        <v>315</v>
      </c>
      <c r="G19" s="446" t="s">
        <v>324</v>
      </c>
      <c r="H19" s="477"/>
      <c r="I19" s="854"/>
      <c r="J19" s="457">
        <v>0</v>
      </c>
    </row>
    <row customHeight="1" ht="24" hidden="1">
      <c r="A20" s="2204"/>
      <c r="B20" s="504"/>
      <c r="C20" s="2215"/>
      <c r="D20" s="442" t="str">
        <f>D19&amp;".1"</f>
        <v>5.1.1</v>
      </c>
      <c r="E20" s="441" t="s">
        <v>325</v>
      </c>
      <c r="F20" s="883" t="s">
        <v>28</v>
      </c>
      <c r="G20" s="476"/>
      <c r="H20" s="477"/>
      <c r="I20" s="854"/>
      <c r="J20" s="457">
        <v>0</v>
      </c>
    </row>
    <row customHeight="1" ht="22.5" hidden="1">
      <c r="A21" s="2204"/>
      <c r="B21" s="504"/>
      <c r="C21" s="2215"/>
      <c r="D21" s="442" t="str">
        <f>D19&amp;".2"</f>
        <v>5.1.2</v>
      </c>
      <c r="E21" s="441" t="s">
        <v>326</v>
      </c>
      <c r="F21" s="1735" t="s">
        <v>28</v>
      </c>
      <c r="G21" s="446" t="s">
        <v>327</v>
      </c>
      <c r="H21" s="477"/>
      <c r="I21" s="854"/>
      <c r="J21" s="457">
        <v>0</v>
      </c>
    </row>
    <row customHeight="1" ht="22.5" hidden="1">
      <c r="A22" s="2204"/>
      <c r="B22" s="504"/>
      <c r="C22" s="2215"/>
      <c r="D22" s="442" t="str">
        <f>D19&amp;".3"</f>
        <v>5.1.3</v>
      </c>
      <c r="E22" s="441" t="s">
        <v>328</v>
      </c>
      <c r="F22" s="883" t="s">
        <v>28</v>
      </c>
      <c r="G22" s="476"/>
      <c r="H22" s="477"/>
      <c r="I22" s="854"/>
      <c r="J22" s="457">
        <v>0</v>
      </c>
    </row>
    <row customHeight="1" ht="22.5" hidden="1">
      <c r="A23" s="2204"/>
      <c r="B23" s="504"/>
      <c r="C23" s="2215"/>
      <c r="D23" s="442" t="str">
        <f>D19&amp;".4"</f>
        <v>5.1.4</v>
      </c>
      <c r="E23" s="441" t="s">
        <v>329</v>
      </c>
      <c r="F23" s="883" t="s">
        <v>28</v>
      </c>
      <c r="G23" s="446" t="s">
        <v>330</v>
      </c>
      <c r="H23" s="477"/>
      <c r="I23" s="854"/>
      <c r="J23" s="457">
        <v>0</v>
      </c>
    </row>
    <row customHeight="1" ht="22.5" hidden="1">
      <c r="A24" s="1980"/>
      <c r="B24" s="504"/>
      <c r="C24" s="494"/>
      <c r="D24" s="469"/>
      <c r="E24" s="1170" t="s">
        <v>331</v>
      </c>
      <c r="F24" s="470"/>
      <c r="G24" s="471"/>
      <c r="H24" s="477"/>
      <c r="I24" s="854"/>
      <c r="J24" s="457">
        <v>0</v>
      </c>
    </row>
    <row s="503" customFormat="1" customHeight="1" ht="24.75" hidden="1">
      <c r="A25" s="459"/>
      <c r="B25" s="504"/>
      <c r="C25" s="504"/>
      <c r="D25" s="1008" t="s">
        <v>92</v>
      </c>
      <c r="E25" s="1010" t="s">
        <v>332</v>
      </c>
      <c r="F25" s="1015" t="s">
        <v>315</v>
      </c>
      <c r="G25" s="1010"/>
      <c r="J25" s="503">
        <v>0</v>
      </c>
    </row>
    <row s="503" customFormat="1" customHeight="1" ht="11.25" hidden="1">
      <c r="A26" s="459"/>
      <c r="B26" s="504"/>
      <c r="C26" s="504"/>
      <c r="D26" s="1008" t="s">
        <v>333</v>
      </c>
      <c r="E26" s="1009" t="s">
        <v>334</v>
      </c>
      <c r="F26" s="1015" t="s">
        <v>315</v>
      </c>
      <c r="G26" s="1010"/>
      <c r="J26" s="503">
        <v>0</v>
      </c>
    </row>
    <row s="503" customFormat="1" customHeight="1" ht="11.25" hidden="1">
      <c r="A27" s="459"/>
      <c r="B27" s="504"/>
      <c r="C27" s="504"/>
      <c r="D27" s="1008" t="s">
        <v>335</v>
      </c>
      <c r="E27" s="1016" t="s">
        <v>336</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337</v>
      </c>
      <c r="E28" s="1016" t="s">
        <v>338</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339</v>
      </c>
      <c r="E29" s="1016" t="s">
        <v>340</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341</v>
      </c>
      <c r="E30" s="1009" t="s">
        <v>342</v>
      </c>
      <c r="F30" s="1017"/>
      <c r="G30" s="1010"/>
      <c r="J30" s="503">
        <v>0</v>
      </c>
    </row>
    <row s="503" customFormat="1" customHeight="1" ht="11.25" hidden="1">
      <c r="A31" s="459"/>
      <c r="B31" s="504"/>
      <c r="C31" s="504"/>
      <c r="D31" s="1008" t="s">
        <v>343</v>
      </c>
      <c r="E31" s="1009" t="s">
        <v>344</v>
      </c>
      <c r="F31" s="1017"/>
      <c r="G31" s="1010"/>
      <c r="J31" s="503">
        <v>0</v>
      </c>
    </row>
    <row s="503" customFormat="1" customHeight="1" ht="11.25" hidden="1">
      <c r="A32" s="459"/>
      <c r="B32" s="504"/>
      <c r="C32" s="504"/>
      <c r="D32" s="1008" t="s">
        <v>345</v>
      </c>
      <c r="E32" s="1009" t="s">
        <v>346</v>
      </c>
      <c r="F32" s="1018"/>
      <c r="G32" s="1010"/>
      <c r="J32" s="503">
        <v>0</v>
      </c>
    </row>
    <row customHeight="1" ht="24">
      <c r="A33" s="459" t="str">
        <f>IF(TEMPLATE_SPHERE="HEAT","6","5")</f>
        <v>6</v>
      </c>
      <c r="B33" s="504"/>
      <c r="C33" s="459"/>
      <c r="D33" s="442" t="str">
        <f>A33</f>
        <v>6</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5" t="s">
        <v>315</v>
      </c>
      <c r="G33" s="476"/>
      <c r="H33" s="477"/>
      <c r="J33" s="457">
        <v>23</v>
      </c>
    </row>
    <row customHeight="1" ht="23.25">
      <c r="A34" s="459"/>
      <c r="B34" s="504"/>
      <c r="C34" s="459"/>
      <c r="D34" s="442" t="str">
        <f>D33&amp;".1"</f>
        <v>6.1</v>
      </c>
      <c r="E34" s="444" t="str">
        <f>"фамилия"&amp;IF(TEMPLATE_SPHERE&lt;&gt;"HEAT"," руководителя","")</f>
        <v>фамилия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7"/>
      <c r="J34" s="457">
        <v>22</v>
      </c>
    </row>
    <row customHeight="1" ht="23.25">
      <c r="A35" s="459"/>
      <c r="B35" s="504"/>
      <c r="C35" s="459"/>
      <c r="D35" s="442" t="str">
        <f>D33&amp;".2"</f>
        <v>6.2</v>
      </c>
      <c r="E35" s="444" t="str">
        <f>"имя"&amp;IF(TEMPLATE_SPHERE&lt;&gt;"HEAT"," руководителя","")</f>
        <v>имя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7"/>
      <c r="J35" s="457">
        <v>22</v>
      </c>
    </row>
    <row customHeight="1" ht="24">
      <c r="A36" s="459"/>
      <c r="B36" s="504"/>
      <c r="C36" s="459"/>
      <c r="D36" s="442" t="str">
        <f>D33&amp;".3"</f>
        <v>6.3</v>
      </c>
      <c r="E36" s="444" t="str">
        <f>"отчество"&amp;IF(TEMPLATE_SPHERE&lt;&gt;"HEAT"," руководителя","")</f>
        <v>отчество</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7"/>
      <c r="J36" s="457">
        <v>23</v>
      </c>
    </row>
    <row customHeight="1" ht="36">
      <c r="A37" s="459"/>
      <c r="B37" s="504"/>
      <c r="C37" s="459"/>
      <c r="D37" s="442">
        <f>D33+1</f>
        <v>7</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3"/>
      <c r="G37" s="446" t="s">
        <v>347</v>
      </c>
      <c r="H37" s="477"/>
      <c r="J37" s="457">
        <v>34</v>
      </c>
    </row>
    <row customHeight="1" ht="36">
      <c r="A38" s="459"/>
      <c r="B38" s="504"/>
      <c r="C38" s="459"/>
      <c r="D38" s="442">
        <f>D37+1</f>
        <v>8</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3"/>
      <c r="G38" s="446" t="s">
        <v>347</v>
      </c>
      <c r="H38" s="477"/>
      <c r="J38" s="457">
        <v>34</v>
      </c>
    </row>
    <row customHeight="1" ht="23.25">
      <c r="A39" s="459"/>
      <c r="B39" s="504"/>
      <c r="C39" s="459"/>
      <c r="D39" s="442">
        <f>D38+1</f>
        <v>9</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5" t="s">
        <v>315</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9.0</v>
      </c>
      <c r="E40" s="1607"/>
      <c r="F40" s="883"/>
      <c r="G40" s="2213"/>
      <c r="H40" s="477"/>
      <c r="J40" s="457">
        <v>0</v>
      </c>
    </row>
    <row customHeight="1" ht="23.25">
      <c r="A41" s="459"/>
      <c r="B41" s="459"/>
      <c r="C41" s="1690"/>
      <c r="D41" s="442" t="str">
        <f>D39&amp;".1"</f>
        <v>9.1</v>
      </c>
      <c r="E41" s="862"/>
      <c r="F41" s="863"/>
      <c r="G41" s="2213"/>
      <c r="H41" s="477"/>
      <c r="J41" s="457">
        <v>22</v>
      </c>
    </row>
    <row customHeight="1" ht="15.75">
      <c r="A42" s="459"/>
      <c r="B42" s="504"/>
      <c r="C42" s="459"/>
      <c r="D42" s="469"/>
      <c r="E42" s="417" t="s">
        <v>348</v>
      </c>
      <c r="F42" s="471"/>
      <c r="G42" s="2214"/>
      <c r="H42" s="478"/>
      <c r="J42" s="457">
        <v>15</v>
      </c>
    </row>
    <row customHeight="1" ht="27">
      <c r="A43" s="459"/>
      <c r="B43" s="504"/>
      <c r="C43" s="459"/>
      <c r="D43" s="442">
        <f>D39+1</f>
        <v>10</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11</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80"/>
      <c r="G44" s="476" t="s">
        <v>349</v>
      </c>
      <c r="H44" s="477"/>
      <c r="J44" s="457">
        <v>22</v>
      </c>
    </row>
    <row customHeight="1" ht="23.25">
      <c r="A45" s="459"/>
      <c r="B45" s="504"/>
      <c r="C45" s="459"/>
      <c r="D45" s="442">
        <f>D44+1</f>
        <v>12</v>
      </c>
      <c r="E45" s="440" t="s">
        <v>350</v>
      </c>
      <c r="F45" s="445" t="s">
        <v>315</v>
      </c>
      <c r="G45" s="439" t="str">
        <f>IF(TEMPLATE_SPHERE="TKO","Указывается режим работы организации.","")</f>
        <v/>
      </c>
      <c r="H45" s="477"/>
      <c r="J45" s="457">
        <v>22</v>
      </c>
    </row>
    <row customHeight="1" ht="24">
      <c r="A46" s="459"/>
      <c r="B46" s="504"/>
      <c r="C46" s="459"/>
      <c r="D46" s="442" t="str">
        <f>D45&amp;".1"</f>
        <v>12.1</v>
      </c>
      <c r="E46" s="444" t="str">
        <f>"режим работы регулируемой организации"&amp;IF(TEMPLATE_SPHERE="HEAT",", ЕТО, ТО","")</f>
        <v>режим работы регулируемой организации, ЕТО, ТО</v>
      </c>
      <c r="F46" s="1686"/>
      <c r="G46" s="439" t="s">
        <v>351</v>
      </c>
      <c r="H46" s="477"/>
      <c r="J46" s="457">
        <v>23</v>
      </c>
    </row>
    <row customHeight="1" ht="24">
      <c r="A47" s="2204"/>
      <c r="B47" s="504"/>
      <c r="C47" s="494"/>
      <c r="D47" s="442" t="str">
        <f>D45&amp;".2"</f>
        <v>12.2</v>
      </c>
      <c r="E47" s="444" t="s">
        <v>352</v>
      </c>
      <c r="F47" s="492"/>
      <c r="G47" s="439" t="s">
        <v>353</v>
      </c>
      <c r="H47" s="477"/>
      <c r="J47" s="457">
        <v>23</v>
      </c>
    </row>
    <row customHeight="1" ht="24">
      <c r="A48" s="2204"/>
      <c r="B48" s="504"/>
      <c r="C48" s="494"/>
      <c r="D48" s="442" t="str">
        <f>D45&amp;".3"</f>
        <v>12.3</v>
      </c>
      <c r="E48" s="444" t="s">
        <v>354</v>
      </c>
      <c r="F48" s="492"/>
      <c r="G48" s="439" t="s">
        <v>355</v>
      </c>
      <c r="H48" s="477"/>
      <c r="J48" s="457">
        <v>23</v>
      </c>
    </row>
    <row customHeight="1" ht="24">
      <c r="A49" s="2204"/>
      <c r="B49" s="504"/>
      <c r="C49" s="494"/>
      <c r="D49" s="442" t="str">
        <f>IF(TEMPLATE_SPHERE="TKO",D45&amp;".0",D45&amp;".4")</f>
        <v>12.4</v>
      </c>
      <c r="E49" s="438" t="s">
        <v>356</v>
      </c>
      <c r="F49" s="1687"/>
      <c r="G49" s="1764" t="s">
        <v>357</v>
      </c>
      <c r="H49" s="477"/>
      <c r="J49" s="457">
        <v>23</v>
      </c>
    </row>
    <row customHeight="1" ht="24">
      <c r="A50" s="459"/>
      <c r="B50" s="504"/>
      <c r="C50" s="459"/>
      <c r="D50" s="469"/>
      <c r="E50" s="417" t="s">
        <v>358</v>
      </c>
      <c r="F50" s="470"/>
      <c r="G50" s="1764" t="s">
        <v>359</v>
      </c>
      <c r="H50" s="478"/>
      <c r="J50" s="457">
        <v>23</v>
      </c>
    </row>
    <row customHeight="1" ht="24">
      <c r="A51" s="860"/>
      <c r="B51" s="504"/>
      <c r="C51" s="494"/>
      <c r="D51" s="442">
        <f>D45+1</f>
        <v>13</v>
      </c>
      <c r="E51" s="530" t="s">
        <v>360</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84</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67C5A39-EE94-865C-75C2-0.C7C679AE}"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customWidth="1"/>
    <col min="12" max="12" style="1637" width="9.7109375" customWidth="1"/>
    <col min="13" max="18" style="1637" width="19.8515625" customWidth="1"/>
    <col min="19" max="19" style="1637" width="1.7109375" hidden="1" customWidth="1"/>
    <col min="20" max="22" style="1637" width="19.8515625" hidden="1" customWidth="1"/>
    <col min="23" max="23" style="1637" width="1.7109375" hidden="1" customWidth="1"/>
    <col min="24" max="26" style="1637" width="19.8515625" hidden="1" customWidth="1"/>
    <col min="27" max="27" style="1637" width="1.7109375" hidden="1" customWidth="1"/>
    <col min="28" max="29" style="1637" width="19.8515625" hidden="1" customWidth="1"/>
    <col min="30" max="30" style="1637" width="1.7109375" hidden="1" customWidth="1"/>
    <col min="31" max="31" style="1637" width="103.7109375" customWidth="1"/>
    <col min="32" max="34" style="1637" width="103.7109375" hidden="1"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361</v>
      </c>
      <c r="I1" s="2219"/>
      <c r="J1" s="2219"/>
      <c r="K1" s="2219"/>
      <c r="L1" s="2219"/>
      <c r="M1" s="2219"/>
      <c r="N1" s="2219"/>
      <c r="O1" s="2219"/>
      <c r="P1" s="2219"/>
      <c r="Q1" s="2219"/>
      <c r="R1" s="2219"/>
      <c r="T1" s="2219" t="s">
        <v>362</v>
      </c>
      <c r="U1" s="2219"/>
      <c r="V1" s="2219"/>
      <c r="X1" s="2219" t="s">
        <v>363</v>
      </c>
      <c r="Y1" s="2219"/>
      <c r="Z1" s="2219"/>
      <c r="AB1" s="2219" t="s">
        <v>364</v>
      </c>
      <c r="AC1" s="2219"/>
      <c r="AT1" s="449" t="s">
        <v>14</v>
      </c>
    </row>
    <row customHeight="1" ht="14.25" hidden="1">
      <c r="AT2" s="449">
        <v>0</v>
      </c>
    </row>
    <row s="1615" customFormat="1" customHeight="1" ht="5.25">
      <c r="C3" s="703"/>
      <c r="D3" s="704"/>
      <c r="E3" s="704"/>
      <c r="F3" s="704"/>
      <c r="G3" s="704"/>
      <c r="H3" s="704" t="s">
        <v>365</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309</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310</v>
      </c>
      <c r="AF7" s="2225" t="s">
        <v>310</v>
      </c>
      <c r="AG7" s="2225" t="s">
        <v>310</v>
      </c>
      <c r="AH7" s="2225" t="s">
        <v>310</v>
      </c>
      <c r="AT7" s="449">
        <v>14</v>
      </c>
    </row>
    <row customHeight="1" ht="27">
      <c r="C8" s="452"/>
      <c r="D8" s="2129" t="s">
        <v>90</v>
      </c>
      <c r="E8" s="2225" t="str">
        <f>"Наименование "&amp;IF(TEMPLATE_SPHERE&lt;&gt;"HEAT","централизованной ","")&amp;"системы "&amp;TEMPLATE_SPHERE_RUS</f>
        <v>Наименование системы теплоснабжения</v>
      </c>
      <c r="F8" s="2225" t="str">
        <f>IF(TEMPLATE_SPHERE&lt;&gt;"HEAT","Регулируемый вид деятельности","Вид регулируемой деятельности")</f>
        <v>Вид регулируемой деятельности</v>
      </c>
      <c r="G8" s="830"/>
      <c r="H8" s="2226" t="s">
        <v>366</v>
      </c>
      <c r="I8" s="2228" t="s">
        <v>367</v>
      </c>
      <c r="J8" s="2225" t="s">
        <v>368</v>
      </c>
      <c r="K8" s="2225"/>
      <c r="L8" s="2225"/>
      <c r="M8" s="2220"/>
      <c r="N8" s="2225" t="s">
        <v>369</v>
      </c>
      <c r="O8" s="2225"/>
      <c r="P8" s="2225" t="s">
        <v>370</v>
      </c>
      <c r="Q8" s="2225"/>
      <c r="R8" s="2232" t="s">
        <v>371</v>
      </c>
      <c r="S8" s="826"/>
      <c r="T8" s="2230" t="s">
        <v>372</v>
      </c>
      <c r="U8" s="2230" t="s">
        <v>373</v>
      </c>
      <c r="V8" s="2230" t="s">
        <v>374</v>
      </c>
      <c r="W8" s="828"/>
      <c r="X8" s="2230" t="s">
        <v>375</v>
      </c>
      <c r="Y8" s="2230" t="s">
        <v>376</v>
      </c>
      <c r="Z8" s="2230" t="s">
        <v>377</v>
      </c>
      <c r="AA8" s="828"/>
      <c r="AB8" s="2230" t="s">
        <v>378</v>
      </c>
      <c r="AC8" s="2230" t="s">
        <v>371</v>
      </c>
      <c r="AD8" s="828"/>
      <c r="AE8" s="2225"/>
      <c r="AF8" s="2225"/>
      <c r="AG8" s="2225"/>
      <c r="AH8" s="2225"/>
      <c r="AT8" s="449">
        <v>26</v>
      </c>
    </row>
    <row customHeight="1" ht="46.5">
      <c r="C9" s="452"/>
      <c r="D9" s="2129"/>
      <c r="E9" s="2225"/>
      <c r="F9" s="2225"/>
      <c r="G9" s="831"/>
      <c r="H9" s="2227"/>
      <c r="I9" s="2229"/>
      <c r="J9" s="427" t="s">
        <v>379</v>
      </c>
      <c r="K9" s="427" t="s">
        <v>380</v>
      </c>
      <c r="L9" s="427" t="s">
        <v>381</v>
      </c>
      <c r="M9" s="433" t="s">
        <v>382</v>
      </c>
      <c r="N9" s="427" t="s">
        <v>383</v>
      </c>
      <c r="O9" s="427" t="s">
        <v>382</v>
      </c>
      <c r="P9" s="427" t="s">
        <v>384</v>
      </c>
      <c r="Q9" s="427" t="s">
        <v>382</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385</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111</v>
      </c>
      <c r="E12" s="1779" t="s">
        <v>28</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386</v>
      </c>
      <c r="AF12" s="2223" t="s">
        <v>387</v>
      </c>
      <c r="AG12" s="2223" t="s">
        <v>388</v>
      </c>
      <c r="AH12" s="2223" t="s">
        <v>389</v>
      </c>
      <c r="AI12" s="449"/>
      <c r="AM12" s="513"/>
      <c r="AP12" s="502" t="s">
        <v>390</v>
      </c>
      <c r="AQ12" s="502" t="s">
        <v>390</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84</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0088CE-539B-F1F2-A434-0.5A8302E2}"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361</v>
      </c>
      <c r="I1" s="2219"/>
      <c r="V1" s="1609" t="s">
        <v>14</v>
      </c>
    </row>
    <row s="1637" customFormat="1" customHeight="1" ht="14.25" hidden="1">
      <c r="C2" s="1621"/>
      <c r="D2" s="2235" t="s">
        <v>111</v>
      </c>
      <c r="E2" s="2237"/>
      <c r="F2" s="1627"/>
      <c r="G2" s="1622" t="s">
        <v>111</v>
      </c>
      <c r="H2" s="1625"/>
      <c r="I2" s="1623"/>
      <c r="L2" s="1624"/>
      <c r="M2" s="1624"/>
      <c r="N2" s="1624"/>
      <c r="O2" s="1624" t="s">
        <v>391</v>
      </c>
      <c r="P2" s="1624"/>
      <c r="Q2" s="1624"/>
      <c r="R2" s="1626" t="s">
        <v>390</v>
      </c>
      <c r="S2" s="1626" t="s">
        <v>390</v>
      </c>
      <c r="T2" s="1624"/>
      <c r="U2" s="1624"/>
      <c r="V2" s="1620">
        <v>0</v>
      </c>
    </row>
    <row s="1637" customFormat="1" customHeight="1" ht="14.25" hidden="1">
      <c r="C3" s="1621"/>
      <c r="D3" s="2236"/>
      <c r="E3" s="2238"/>
      <c r="F3" s="407"/>
      <c r="G3" s="871"/>
      <c r="H3" s="871" t="s">
        <v>392</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365</v>
      </c>
      <c r="I5" s="704"/>
      <c r="J5" s="704"/>
      <c r="L5" s="1616"/>
      <c r="M5" s="1616"/>
      <c r="N5" s="1616"/>
      <c r="O5" s="1616"/>
      <c r="P5" s="1616"/>
      <c r="Q5" s="1616"/>
      <c r="R5" s="1616"/>
      <c r="S5" s="1616"/>
      <c r="T5" s="1616"/>
      <c r="U5" s="1616"/>
      <c r="V5" s="1615">
        <v>5</v>
      </c>
    </row>
    <row customHeight="1" ht="29.25">
      <c r="C6" s="1518"/>
      <c r="D6" s="2239" t="s">
        <v>393</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309</v>
      </c>
      <c r="E10" s="2221"/>
      <c r="F10" s="2221"/>
      <c r="G10" s="2221"/>
      <c r="H10" s="2221"/>
      <c r="I10" s="2221"/>
      <c r="J10" s="2225" t="s">
        <v>310</v>
      </c>
      <c r="V10" s="1609">
        <v>14</v>
      </c>
    </row>
    <row customHeight="1" ht="27">
      <c r="C11" s="1518"/>
      <c r="D11" s="2129" t="s">
        <v>90</v>
      </c>
      <c r="E11" s="2225" t="s">
        <v>107</v>
      </c>
      <c r="F11" s="2194" t="s">
        <v>90</v>
      </c>
      <c r="G11" s="2195"/>
      <c r="H11" s="2177" t="s">
        <v>394</v>
      </c>
      <c r="I11" s="2177" t="s">
        <v>395</v>
      </c>
      <c r="J11" s="2225"/>
      <c r="V11" s="1609">
        <v>26</v>
      </c>
    </row>
    <row customHeight="1" ht="15">
      <c r="C12" s="1518"/>
      <c r="D12" s="2129"/>
      <c r="E12" s="2225"/>
      <c r="F12" s="2202"/>
      <c r="G12" s="2203"/>
      <c r="H12" s="2234"/>
      <c r="I12" s="2234"/>
      <c r="J12" s="2225"/>
      <c r="V12" s="1609">
        <v>14</v>
      </c>
    </row>
    <row s="1643" customFormat="1" customHeight="1" ht="11.25" hidden="1">
      <c r="C13" s="500"/>
      <c r="D13" s="501" t="s">
        <v>385</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111</v>
      </c>
      <c r="E14" s="2237"/>
      <c r="F14" s="1619"/>
      <c r="G14" s="1618" t="s">
        <v>111</v>
      </c>
      <c r="H14" s="1625"/>
      <c r="I14" s="1623"/>
      <c r="J14" s="2171" t="s">
        <v>396</v>
      </c>
      <c r="K14" s="1609"/>
      <c r="R14" s="502" t="s">
        <v>390</v>
      </c>
      <c r="S14" s="502" t="s">
        <v>390</v>
      </c>
      <c r="V14" s="1609">
        <v>14</v>
      </c>
    </row>
    <row customHeight="1" ht="15">
      <c r="A15" s="1609"/>
      <c r="C15" s="1518"/>
      <c r="D15" s="2236"/>
      <c r="E15" s="2238"/>
      <c r="F15" s="407"/>
      <c r="G15" s="871"/>
      <c r="H15" s="871" t="s">
        <v>392</v>
      </c>
      <c r="I15" s="315"/>
      <c r="J15" s="2172"/>
      <c r="K15" s="1609"/>
      <c r="R15" s="502"/>
      <c r="S15" s="502"/>
      <c r="V15" s="1609">
        <v>14</v>
      </c>
    </row>
    <row customHeight="1" ht="15">
      <c r="A16" s="1609"/>
      <c r="C16" s="1518"/>
      <c r="D16" s="407"/>
      <c r="E16" s="871" t="s">
        <v>123</v>
      </c>
      <c r="F16" s="315"/>
      <c r="G16" s="315"/>
      <c r="H16" s="408"/>
      <c r="I16" s="408"/>
      <c r="J16" s="2173"/>
      <c r="K16" s="1609"/>
      <c r="V16" s="1609">
        <v>14</v>
      </c>
    </row>
    <row customHeight="1" ht="15">
      <c r="K17" s="1609"/>
      <c r="V17" s="1609">
        <v>14</v>
      </c>
    </row>
    <row customHeight="1" ht="22.5" hidden="1">
      <c r="A18" s="1610" t="s">
        <v>84</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0BA711-01DE-8709-EBA2-0.D84B70B3}"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85</v>
      </c>
      <c r="H1" s="491" t="s">
        <v>86</v>
      </c>
      <c r="I1" s="491" t="s">
        <v>87</v>
      </c>
      <c r="P1" s="491" t="s">
        <v>85</v>
      </c>
      <c r="Q1" s="491" t="s">
        <v>86</v>
      </c>
      <c r="R1" s="491" t="s">
        <v>87</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397</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309</v>
      </c>
      <c r="F7" s="2210"/>
      <c r="G7" s="2211"/>
      <c r="H7" s="2211"/>
      <c r="I7" s="2211"/>
      <c r="J7" s="2211"/>
      <c r="K7" s="2211"/>
      <c r="L7" s="2225" t="s">
        <v>310</v>
      </c>
      <c r="W7" s="449">
        <v>14</v>
      </c>
    </row>
    <row customHeight="1" ht="48">
      <c r="D8" s="452"/>
      <c r="E8" s="475" t="s">
        <v>90</v>
      </c>
      <c r="F8" s="825"/>
      <c r="G8" s="467" t="s">
        <v>88</v>
      </c>
      <c r="H8" s="467" t="s">
        <v>89</v>
      </c>
      <c r="I8" s="416" t="s">
        <v>87</v>
      </c>
      <c r="J8" s="416" t="s">
        <v>398</v>
      </c>
      <c r="K8" s="416" t="s">
        <v>399</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400</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68</v>
      </c>
      <c r="K12" s="1166" t="s">
        <v>28</v>
      </c>
      <c r="L12" s="2243"/>
      <c r="M12" s="513"/>
      <c r="N12" s="513"/>
      <c r="O12" s="513"/>
      <c r="P12" s="518" t="s">
        <v>401</v>
      </c>
      <c r="Q12" s="518" t="s">
        <v>402</v>
      </c>
      <c r="R12" s="519" t="s">
        <v>403</v>
      </c>
      <c r="S12" s="513" t="s">
        <v>404</v>
      </c>
      <c r="T12" s="513"/>
      <c r="U12" s="513"/>
      <c r="V12" s="513"/>
      <c r="W12" s="482">
        <v>14</v>
      </c>
    </row>
    <row customHeight="1" ht="15.75">
      <c r="A13" s="2101"/>
      <c r="B13" s="507"/>
      <c r="D13" s="508"/>
      <c r="E13" s="407"/>
      <c r="F13" s="531"/>
      <c r="G13" s="418" t="s">
        <v>104</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84</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82C72F-1CB1-6066-8EB7-0.B958A663}"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406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408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410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411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412</v>
      </c>
      <c r="M6" s="539"/>
      <c r="P6" s="2259">
        <v>1</v>
      </c>
      <c r="Q6" s="1307"/>
      <c r="R6" s="358"/>
      <c r="S6" s="1311">
        <f>$I6</f>
      </c>
      <c r="T6" s="287" t="s">
        <v>413</v>
      </c>
      <c r="U6" s="302"/>
      <c r="V6" s="2247"/>
      <c r="W6" s="2248"/>
      <c r="X6" s="2248"/>
      <c r="Y6" s="2248"/>
      <c r="Z6" s="2248"/>
      <c r="AA6" s="2248"/>
      <c r="AB6" s="2248"/>
      <c r="AC6" s="2249"/>
      <c r="AD6" s="2247"/>
      <c r="AE6" s="2248"/>
      <c r="AF6" s="2248"/>
      <c r="AG6" s="2248"/>
      <c r="AH6" s="2248"/>
      <c r="AI6" s="2248"/>
      <c r="AJ6" s="2248"/>
      <c r="AK6" s="2248"/>
      <c r="AL6" s="2249"/>
      <c r="AM6" s="1260" t="s">
        <v>414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415</v>
      </c>
      <c r="M7" s="539"/>
      <c r="N7" s="1368"/>
      <c r="P7" s="2259"/>
      <c r="Q7" s="2259">
        <v>1</v>
      </c>
      <c r="R7" s="359"/>
      <c r="S7" s="1311">
        <f>$J7</f>
      </c>
      <c r="T7" s="288" t="s">
        <v>416</v>
      </c>
      <c r="U7" s="302"/>
      <c r="V7" s="2247"/>
      <c r="W7" s="2248"/>
      <c r="X7" s="2248"/>
      <c r="Y7" s="2248"/>
      <c r="Z7" s="2248"/>
      <c r="AA7" s="2248"/>
      <c r="AB7" s="2248"/>
      <c r="AC7" s="2249"/>
      <c r="AD7" s="2247"/>
      <c r="AE7" s="2248"/>
      <c r="AF7" s="2248"/>
      <c r="AG7" s="2248"/>
      <c r="AH7" s="2248"/>
      <c r="AI7" s="2248"/>
      <c r="AJ7" s="2248"/>
      <c r="AK7" s="2248"/>
      <c r="AL7" s="2249"/>
      <c r="AM7" s="1260" t="s">
        <v>417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418</v>
      </c>
      <c r="M8" s="539"/>
      <c r="N8" s="1368"/>
      <c r="O8" s="1368"/>
      <c r="P8" s="2259"/>
      <c r="Q8" s="2259"/>
      <c r="R8" s="359">
        <v>1</v>
      </c>
      <c r="S8" s="1311">
        <f>$K8</f>
      </c>
      <c r="T8" s="1349"/>
      <c r="U8" s="302"/>
      <c r="V8" s="753"/>
      <c r="W8" s="327"/>
      <c r="X8" s="753"/>
      <c r="Y8" s="1259"/>
      <c r="Z8" s="2267"/>
      <c r="AA8" s="2109" t="s">
        <v>68</v>
      </c>
      <c r="AB8" s="2267"/>
      <c r="AC8" s="2109" t="s">
        <v>68</v>
      </c>
      <c r="AD8" s="753"/>
      <c r="AE8" s="327"/>
      <c r="AF8" s="753"/>
      <c r="AG8" s="1259"/>
      <c r="AH8" s="2267"/>
      <c r="AI8" s="2109" t="s">
        <v>68</v>
      </c>
      <c r="AJ8" s="2267"/>
      <c r="AK8" s="2109" t="s">
        <v>68</v>
      </c>
      <c r="AL8" s="327"/>
      <c r="AM8" s="2255" t="s">
        <v>419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420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421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422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172</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173</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174</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68</v>
      </c>
      <c r="AJ17" s="2269"/>
      <c r="AK17" s="2270" t="s">
        <v>68</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423</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424</v>
      </c>
      <c r="P22" s="1364"/>
      <c r="Q22" s="1373"/>
      <c r="R22" s="1373"/>
      <c r="S22" s="731"/>
      <c r="T22" s="1162" t="s">
        <v>425</v>
      </c>
      <c r="AA22" s="188" t="s">
        <v>426</v>
      </c>
      <c r="AC22" s="188" t="s">
        <v>427</v>
      </c>
      <c r="AD22" s="1162" t="s">
        <v>425</v>
      </c>
      <c r="AI22" s="188" t="s">
        <v>428</v>
      </c>
      <c r="AK22" s="188" t="s">
        <v>427</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43</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429</v>
      </c>
      <c r="T30" s="2252"/>
      <c r="U30" s="1374"/>
      <c r="V30" s="2266" t="str">
        <f>IF(TITLE_DATE_PR_CHANGE="",IF(TITLE_DATE_PR="","",TITLE_DATE_PR),TITLE_DATE_PR_CHANGE)</f>
        <v>46141.35650462963</v>
      </c>
      <c r="W30" s="2266"/>
      <c r="X30" s="2266"/>
      <c r="Y30" s="2266"/>
      <c r="Z30" s="2266"/>
      <c r="AA30" s="2266"/>
      <c r="AB30" s="2266"/>
      <c r="AC30" s="328"/>
      <c r="AD30" s="2266" t="str">
        <f>IF(TITLE_DATE_PR_CHANGE="",IF(TITLE_DATE_PR="","",TITLE_DATE_PR),TITLE_DATE_PR_CHANGE)</f>
        <v>46141.35650462963</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430</v>
      </c>
      <c r="T31" s="2252"/>
      <c r="U31" s="1374"/>
      <c r="V31" s="2253" t="str">
        <f>IF(TITLE_NUMBER_PR_CHANGE="",IF(TITLE_NUMBER_PR="","",TITLE_NUMBER_PR),TITLE_NUMBER_PR_CHANGE)</f>
        <v>вх. О-1106 (исх. №382 от 29.04.2026)</v>
      </c>
      <c r="W31" s="2253"/>
      <c r="X31" s="2253"/>
      <c r="Y31" s="2253"/>
      <c r="Z31" s="2253"/>
      <c r="AA31" s="2253"/>
      <c r="AB31" s="2253"/>
      <c r="AC31" s="328"/>
      <c r="AD31" s="2253" t="str">
        <f>IF(TITLE_NUMBER_PR_CHANGE="",IF(TITLE_NUMBER_PR="","",TITLE_NUMBER_PR),TITLE_NUMBER_PR_CHANGE)</f>
        <v>вх. О-1106 (исх. №382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44</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431</v>
      </c>
      <c r="T34" s="2252"/>
      <c r="U34" s="1374"/>
      <c r="V34" s="2266" t="str">
        <f>IF(TITLE_DATE_PR_CHANGE="",IF(TITLE_DATE_PR="","",TITLE_DATE_PR),TITLE_DATE_PR_CHANGE)</f>
        <v>46141.35650462963</v>
      </c>
      <c r="W34" s="2266"/>
      <c r="X34" s="2266"/>
      <c r="Y34" s="2266"/>
      <c r="Z34" s="2266"/>
      <c r="AA34" s="2266"/>
      <c r="AB34" s="2266"/>
      <c r="AC34" s="328"/>
      <c r="AD34" s="2266" t="str">
        <f>IF(TITLE_DATE_PR_CHANGE="",IF(TITLE_DATE_PR="","",TITLE_DATE_PR),TITLE_DATE_PR_CHANGE)</f>
        <v>46141.35650462963</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432</v>
      </c>
      <c r="T35" s="2252"/>
      <c r="U35" s="1374"/>
      <c r="V35" s="2253" t="str">
        <f>IF(TITLE_NUMBER_PR_CHANGE="",IF(TITLE_NUMBER_PR="","",TITLE_NUMBER_PR),TITLE_NUMBER_PR_CHANGE)</f>
        <v>вх. О-1106 (исх. №382 от 29.04.2026)</v>
      </c>
      <c r="W35" s="2253"/>
      <c r="X35" s="2253"/>
      <c r="Y35" s="2253"/>
      <c r="Z35" s="2253"/>
      <c r="AA35" s="2253"/>
      <c r="AB35" s="2253"/>
      <c r="AC35" s="328"/>
      <c r="AD35" s="2253" t="str">
        <f>IF(TITLE_NUMBER_PR_CHANGE="",IF(TITLE_NUMBER_PR="","",TITLE_NUMBER_PR),TITLE_NUMBER_PR_CHANGE)</f>
        <v>вх. О-1106 (исх. №382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433</v>
      </c>
      <c r="AD36" s="328"/>
      <c r="AE36" s="328"/>
      <c r="AF36" s="328"/>
      <c r="AG36" s="328"/>
      <c r="AH36" s="328"/>
      <c r="AI36" s="328"/>
      <c r="AJ36" s="328"/>
      <c r="AK36" s="280" t="s">
        <v>433</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310</v>
      </c>
      <c r="AS38" s="1157">
        <v>14</v>
      </c>
    </row>
    <row customHeight="1" ht="15">
      <c r="Q39" s="378"/>
      <c r="R39" s="378"/>
      <c r="S39" s="2275" t="s">
        <v>90</v>
      </c>
      <c r="T39" s="2211" t="s">
        <v>434</v>
      </c>
      <c r="U39" s="303"/>
      <c r="V39" s="2276" t="s">
        <v>435</v>
      </c>
      <c r="W39" s="2277"/>
      <c r="X39" s="2277"/>
      <c r="Y39" s="2277"/>
      <c r="Z39" s="2277"/>
      <c r="AA39" s="2277"/>
      <c r="AB39" s="2278"/>
      <c r="AC39" s="2279" t="s">
        <v>436</v>
      </c>
      <c r="AD39" s="2276" t="s">
        <v>435</v>
      </c>
      <c r="AE39" s="2277"/>
      <c r="AF39" s="2277"/>
      <c r="AG39" s="2277"/>
      <c r="AH39" s="2277"/>
      <c r="AI39" s="2277"/>
      <c r="AJ39" s="2278"/>
      <c r="AK39" s="2279" t="s">
        <v>437</v>
      </c>
      <c r="AL39" s="2282" t="s">
        <v>438</v>
      </c>
      <c r="AM39" s="2129"/>
      <c r="AS39" s="1157">
        <v>14</v>
      </c>
    </row>
    <row customHeight="1" ht="36">
      <c r="Q40" s="378"/>
      <c r="R40" s="378"/>
      <c r="S40" s="2275"/>
      <c r="T40" s="2211"/>
      <c r="U40" s="1033"/>
      <c r="V40" s="2262" t="s">
        <v>439</v>
      </c>
      <c r="W40" s="2612" t="s">
        <v>440</v>
      </c>
      <c r="X40" s="2264" t="s">
        <v>441</v>
      </c>
      <c r="Y40" s="2265"/>
      <c r="Z40" s="2264" t="s">
        <v>442</v>
      </c>
      <c r="AA40" s="2271"/>
      <c r="AB40" s="2265"/>
      <c r="AC40" s="2280"/>
      <c r="AD40" s="2262" t="s">
        <v>439</v>
      </c>
      <c r="AE40" s="2285" t="s">
        <v>440</v>
      </c>
      <c r="AF40" s="2264" t="s">
        <v>441</v>
      </c>
      <c r="AG40" s="2265"/>
      <c r="AH40" s="2264" t="s">
        <v>442</v>
      </c>
      <c r="AI40" s="2271"/>
      <c r="AJ40" s="2265"/>
      <c r="AK40" s="2280"/>
      <c r="AL40" s="2283"/>
      <c r="AM40" s="2129"/>
      <c r="AS40" s="1157">
        <v>34</v>
      </c>
    </row>
    <row customHeight="1" ht="36">
      <c r="A41" s="1372"/>
      <c r="B41" s="1372" t="s">
        <v>137</v>
      </c>
      <c r="C41" s="1372" t="s">
        <v>138</v>
      </c>
      <c r="D41" s="1372" t="s">
        <v>139</v>
      </c>
      <c r="E41" s="1366" t="s">
        <v>443</v>
      </c>
      <c r="F41" s="1366" t="s">
        <v>444</v>
      </c>
      <c r="G41" s="1366" t="s">
        <v>445</v>
      </c>
      <c r="H41" s="1366" t="s">
        <v>446</v>
      </c>
      <c r="I41" s="1366" t="s">
        <v>447</v>
      </c>
      <c r="J41" s="1366" t="s">
        <v>448</v>
      </c>
      <c r="K41" s="1366" t="s">
        <v>449</v>
      </c>
      <c r="L41" s="1366" t="s">
        <v>424</v>
      </c>
      <c r="Q41" s="378"/>
      <c r="R41" s="378"/>
      <c r="S41" s="2275"/>
      <c r="T41" s="2211"/>
      <c r="U41" s="304"/>
      <c r="V41" s="2263"/>
      <c r="W41" s="2286"/>
      <c r="X41" s="1224" t="s">
        <v>450</v>
      </c>
      <c r="Y41" s="1224" t="s">
        <v>451</v>
      </c>
      <c r="Z41" s="1223" t="s">
        <v>452</v>
      </c>
      <c r="AA41" s="2272" t="s">
        <v>453</v>
      </c>
      <c r="AB41" s="2273"/>
      <c r="AC41" s="2281"/>
      <c r="AD41" s="2263"/>
      <c r="AE41" s="2286"/>
      <c r="AF41" s="1224" t="s">
        <v>450</v>
      </c>
      <c r="AG41" s="1224" t="s">
        <v>451</v>
      </c>
      <c r="AH41" s="1315" t="s">
        <v>452</v>
      </c>
      <c r="AI41" s="2272" t="s">
        <v>453</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111</v>
      </c>
      <c r="T42" s="1257" t="s">
        <v>112</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158</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158</v>
      </c>
      <c r="B44" s="1365" t="s">
        <v>159</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406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407</v>
      </c>
      <c r="AO44" s="502"/>
      <c r="AP44" s="502" t="str">
        <f>IF(T44="","",T44)</f>
        <v>Территория действия тарифа</v>
      </c>
      <c r="AQ44" s="502"/>
      <c r="AR44" s="502"/>
      <c r="AS44" s="1157">
        <v>23</v>
      </c>
    </row>
    <row customHeight="1" ht="24">
      <c r="A45" s="1365" t="s">
        <v>158</v>
      </c>
      <c r="B45" s="1365" t="s">
        <v>159</v>
      </c>
      <c r="C45" s="1365" t="s">
        <v>160</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408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409</v>
      </c>
      <c r="AO45" s="502"/>
      <c r="AP45" s="502" t="str">
        <f>IF(T45="","",T45)</f>
        <v>Наименование системы теплоснабжения </v>
      </c>
      <c r="AQ45" s="502"/>
      <c r="AR45" s="502"/>
      <c r="AS45" s="1157">
        <v>23</v>
      </c>
    </row>
    <row customHeight="1" ht="24">
      <c r="A46" s="1365" t="s">
        <v>158</v>
      </c>
      <c r="B46" s="1365" t="s">
        <v>159</v>
      </c>
      <c r="C46" s="1365" t="s">
        <v>160</v>
      </c>
      <c r="D46" s="1365" t="s">
        <v>161</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410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411</v>
      </c>
      <c r="AO46" s="502"/>
      <c r="AP46" s="502" t="str">
        <f>IF(T46="","",T46)</f>
        <v>Источник тепловой энергии  </v>
      </c>
      <c r="AQ46" s="502"/>
      <c r="AR46" s="502"/>
      <c r="AS46" s="1157">
        <v>23</v>
      </c>
    </row>
    <row customHeight="1" ht="49.5">
      <c r="A47" s="1365" t="s">
        <v>158</v>
      </c>
      <c r="B47" s="1365" t="s">
        <v>159</v>
      </c>
      <c r="C47" s="1365" t="s">
        <v>160</v>
      </c>
      <c r="D47" s="1365" t="s">
        <v>161</v>
      </c>
      <c r="E47" s="2261"/>
      <c r="F47" s="2261"/>
      <c r="G47" s="2261"/>
      <c r="H47" s="2261"/>
      <c r="I47" s="2258" t="str">
        <f>S46&amp;".1"</f>
        <v>....1</v>
      </c>
      <c r="J47" s="1365"/>
      <c r="K47" s="1365"/>
      <c r="L47" s="1366" t="s">
        <v>412</v>
      </c>
      <c r="P47" s="2259">
        <v>1</v>
      </c>
      <c r="Q47" s="1222"/>
      <c r="R47" s="358"/>
      <c r="S47" s="1226" t="str">
        <f>$I47</f>
        <v>....1</v>
      </c>
      <c r="T47" s="287" t="s">
        <v>413</v>
      </c>
      <c r="U47" s="302"/>
      <c r="V47" s="2247"/>
      <c r="W47" s="2248"/>
      <c r="X47" s="2248"/>
      <c r="Y47" s="2248"/>
      <c r="Z47" s="2248"/>
      <c r="AA47" s="2248"/>
      <c r="AB47" s="2248"/>
      <c r="AC47" s="2249"/>
      <c r="AD47" s="2247"/>
      <c r="AE47" s="2248"/>
      <c r="AF47" s="2248"/>
      <c r="AG47" s="2248"/>
      <c r="AH47" s="2248"/>
      <c r="AI47" s="2248"/>
      <c r="AJ47" s="2248"/>
      <c r="AK47" s="2248"/>
      <c r="AL47" s="2249"/>
      <c r="AM47" s="1260" t="s">
        <v>414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158</v>
      </c>
      <c r="B48" s="1365" t="s">
        <v>159</v>
      </c>
      <c r="C48" s="1365" t="s">
        <v>160</v>
      </c>
      <c r="D48" s="1365" t="s">
        <v>161</v>
      </c>
      <c r="E48" s="2261"/>
      <c r="F48" s="2261"/>
      <c r="G48" s="2261"/>
      <c r="H48" s="2261"/>
      <c r="I48" s="2288"/>
      <c r="J48" s="2258" t="str">
        <f>I47&amp;".1"</f>
        <v>....1.1</v>
      </c>
      <c r="K48" s="1365"/>
      <c r="L48" s="1366" t="s">
        <v>415</v>
      </c>
      <c r="P48" s="2259"/>
      <c r="Q48" s="2259">
        <v>1</v>
      </c>
      <c r="R48" s="359"/>
      <c r="S48" s="1226" t="str">
        <f>$J48</f>
        <v>....1.1</v>
      </c>
      <c r="T48" s="288" t="s">
        <v>416</v>
      </c>
      <c r="U48" s="302"/>
      <c r="V48" s="2247"/>
      <c r="W48" s="2248"/>
      <c r="X48" s="2248"/>
      <c r="Y48" s="2248"/>
      <c r="Z48" s="2248"/>
      <c r="AA48" s="2248"/>
      <c r="AB48" s="2248"/>
      <c r="AC48" s="2249"/>
      <c r="AD48" s="2247"/>
      <c r="AE48" s="2248"/>
      <c r="AF48" s="2248"/>
      <c r="AG48" s="2248"/>
      <c r="AH48" s="2248"/>
      <c r="AI48" s="2248"/>
      <c r="AJ48" s="2248"/>
      <c r="AK48" s="2248"/>
      <c r="AL48" s="2249"/>
      <c r="AM48" s="1260" t="s">
        <v>417</v>
      </c>
      <c r="AO48" s="502"/>
      <c r="AP48" s="502" t="str">
        <f>IF(T48="","",T48)</f>
        <v>Группа потребителей</v>
      </c>
      <c r="AQ48" s="502"/>
      <c r="AR48" s="502"/>
      <c r="AS48" s="1157">
        <v>23</v>
      </c>
    </row>
    <row customHeight="1" ht="24">
      <c r="A49" s="1365" t="s">
        <v>158</v>
      </c>
      <c r="B49" s="1365" t="s">
        <v>159</v>
      </c>
      <c r="C49" s="1365" t="s">
        <v>160</v>
      </c>
      <c r="D49" s="1365" t="s">
        <v>161</v>
      </c>
      <c r="E49" s="2261"/>
      <c r="F49" s="2261"/>
      <c r="G49" s="2261"/>
      <c r="H49" s="2261"/>
      <c r="I49" s="2288"/>
      <c r="J49" s="2288"/>
      <c r="K49" s="2258" t="str">
        <f>J48&amp;".1"</f>
        <v>....1.1.1</v>
      </c>
      <c r="L49" s="1366" t="s">
        <v>418</v>
      </c>
      <c r="P49" s="2259"/>
      <c r="Q49" s="2259"/>
      <c r="R49" s="359">
        <v>1</v>
      </c>
      <c r="S49" s="1226" t="str">
        <f>$K49</f>
        <v>....1.1.1</v>
      </c>
      <c r="T49" s="1349"/>
      <c r="U49" s="302"/>
      <c r="V49" s="753"/>
      <c r="W49" s="327"/>
      <c r="X49" s="753"/>
      <c r="Y49" s="1259"/>
      <c r="Z49" s="2267"/>
      <c r="AA49" s="2109" t="s">
        <v>68</v>
      </c>
      <c r="AB49" s="2267"/>
      <c r="AC49" s="2109" t="s">
        <v>68</v>
      </c>
      <c r="AD49" s="753"/>
      <c r="AE49" s="327"/>
      <c r="AF49" s="753"/>
      <c r="AG49" s="1259"/>
      <c r="AH49" s="2267"/>
      <c r="AI49" s="2109" t="s">
        <v>68</v>
      </c>
      <c r="AJ49" s="2289"/>
      <c r="AK49" s="2109" t="s">
        <v>68</v>
      </c>
      <c r="AL49" s="1350"/>
      <c r="AM49" s="2255" t="s">
        <v>419</v>
      </c>
      <c r="AN49" s="513">
        <f>STRCHECKDATE(V50:AL50)</f>
      </c>
      <c r="AO49" s="502"/>
      <c r="AP49" s="502" t="str">
        <f>IF(T49="","",T49)</f>
        <v/>
      </c>
      <c r="AQ49" s="502"/>
      <c r="AR49" s="502"/>
      <c r="AS49" s="1157">
        <v>23</v>
      </c>
    </row>
    <row customHeight="1" ht="0.75">
      <c r="A50" s="1365" t="s">
        <v>158</v>
      </c>
      <c r="B50" s="1365" t="s">
        <v>159</v>
      </c>
      <c r="C50" s="1365" t="s">
        <v>160</v>
      </c>
      <c r="D50" s="1365" t="s">
        <v>161</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158</v>
      </c>
      <c r="B51" s="1365" t="s">
        <v>159</v>
      </c>
      <c r="C51" s="1365" t="s">
        <v>160</v>
      </c>
      <c r="D51" s="1365" t="s">
        <v>161</v>
      </c>
      <c r="E51" s="2261"/>
      <c r="F51" s="2261"/>
      <c r="G51" s="2261"/>
      <c r="H51" s="2261"/>
      <c r="I51" s="2288"/>
      <c r="J51" s="2258"/>
      <c r="K51" s="1365"/>
      <c r="L51" s="1366"/>
      <c r="P51" s="2259"/>
      <c r="Q51" s="2259"/>
      <c r="R51" s="358"/>
      <c r="S51" s="1280"/>
      <c r="T51" s="290" t="s">
        <v>420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158</v>
      </c>
      <c r="B52" s="1365" t="s">
        <v>159</v>
      </c>
      <c r="C52" s="1365" t="s">
        <v>160</v>
      </c>
      <c r="D52" s="1365" t="s">
        <v>161</v>
      </c>
      <c r="E52" s="2261"/>
      <c r="F52" s="2261"/>
      <c r="G52" s="2261"/>
      <c r="H52" s="2261"/>
      <c r="I52" s="2258"/>
      <c r="J52" s="1365"/>
      <c r="K52" s="1365"/>
      <c r="L52" s="1366"/>
      <c r="P52" s="2259"/>
      <c r="Q52" s="1222"/>
      <c r="R52" s="358"/>
      <c r="S52" s="1280"/>
      <c r="T52" s="289" t="s">
        <v>421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158</v>
      </c>
      <c r="B53" s="1365" t="s">
        <v>159</v>
      </c>
      <c r="C53" s="1365" t="s">
        <v>160</v>
      </c>
      <c r="D53" s="1365" t="s">
        <v>161</v>
      </c>
      <c r="E53" s="2261"/>
      <c r="F53" s="2261"/>
      <c r="G53" s="2261"/>
      <c r="H53" s="2260"/>
      <c r="I53" s="1365"/>
      <c r="J53" s="1365"/>
      <c r="K53" s="1365"/>
      <c r="L53" s="1366"/>
      <c r="M53" s="1367"/>
      <c r="N53" s="1367"/>
      <c r="O53" s="539"/>
      <c r="P53" s="362"/>
      <c r="Q53" s="377"/>
      <c r="R53" s="357"/>
      <c r="S53" s="1280"/>
      <c r="T53" s="367" t="s">
        <v>422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158</v>
      </c>
      <c r="B54" s="1345" t="s">
        <v>159</v>
      </c>
      <c r="C54" s="1345" t="s">
        <v>160</v>
      </c>
      <c r="D54" s="1316"/>
      <c r="E54" s="2261"/>
      <c r="F54" s="2261"/>
      <c r="G54" s="2260"/>
      <c r="H54" s="1316"/>
      <c r="I54" s="1316"/>
      <c r="J54" s="1316"/>
      <c r="K54" s="1316"/>
      <c r="L54" s="1341"/>
      <c r="M54" s="1317"/>
      <c r="N54" s="1317"/>
      <c r="P54" s="1318"/>
      <c r="Q54" s="1319"/>
      <c r="R54" s="1318"/>
      <c r="S54" s="1324"/>
      <c r="T54" s="1327" t="s">
        <v>172</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158</v>
      </c>
      <c r="B55" s="1345" t="s">
        <v>159</v>
      </c>
      <c r="C55" s="1316"/>
      <c r="D55" s="1316"/>
      <c r="E55" s="2261"/>
      <c r="F55" s="2260"/>
      <c r="G55" s="1316"/>
      <c r="H55" s="1316"/>
      <c r="I55" s="1316"/>
      <c r="J55" s="1316"/>
      <c r="K55" s="1316"/>
      <c r="L55" s="1341"/>
      <c r="M55" s="1323"/>
      <c r="N55" s="1323"/>
      <c r="P55" s="1318"/>
      <c r="Q55" s="1319"/>
      <c r="R55" s="1318"/>
      <c r="S55" s="1324"/>
      <c r="T55" s="1327" t="s">
        <v>173</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158</v>
      </c>
      <c r="B56" s="1345"/>
      <c r="C56" s="1345"/>
      <c r="D56" s="1345"/>
      <c r="E56" s="2260"/>
      <c r="F56" s="1345"/>
      <c r="G56" s="1345"/>
      <c r="H56" s="1345"/>
      <c r="I56" s="1345"/>
      <c r="J56" s="1345"/>
      <c r="K56" s="1345"/>
      <c r="L56" s="1348"/>
      <c r="M56" s="1323"/>
      <c r="N56" s="1323"/>
      <c r="O56" s="520"/>
      <c r="P56" s="382"/>
      <c r="Q56" s="1346"/>
      <c r="R56" s="382"/>
      <c r="S56" s="1324"/>
      <c r="T56" s="1327" t="s">
        <v>174</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175</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84</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05D364-DE46-2E17-C4D7-0.C7FB8FC2}" mc:Ignorable="x14ac xr xr2 xr3">
  <sheetPr>
    <tabColor theme="6" tint="0.4"/>
  </sheetPr>
  <dimension ref="A1:BY65"/>
  <sheetViews>
    <sheetView topLeftCell="A1" showGridLines="0" zoomScale="90" workbookViewId="0">
      <selection activeCell="T60" sqref="T60:BS60"/>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customWidth="1"/>
    <col min="69" max="69" style="66" width="10.57421875" hidden="1"/>
    <col min="70" max="70" style="1637" width="4.00390625" customWidth="1"/>
    <col min="71" max="71" style="1637" width="115.00390625" customWidth="1"/>
    <col min="72" max="76" style="1644" width="10.00390625" customWidth="1"/>
    <col min="77" max="77" style="1637" width="10.57421875" hidden="1"/>
  </cols>
  <sheetData>
    <row customHeight="1" ht="22.5" hidden="1">
      <c r="Y1" s="329"/>
      <c r="Z1" s="329"/>
      <c r="AG1" s="329"/>
      <c r="AH1" s="329"/>
      <c r="AL1" s="1637"/>
      <c r="AM1" s="1637"/>
      <c r="AN1" s="1637"/>
      <c r="AO1" s="1637"/>
      <c r="AP1" s="1637"/>
      <c r="AQ1" s="1637"/>
      <c r="AR1" s="1637"/>
      <c r="AS1" s="1637"/>
      <c r="AT1" s="1637"/>
      <c r="AU1" s="1637"/>
      <c r="AV1" s="1637"/>
      <c r="AW1" s="1637"/>
      <c r="AX1" s="1637"/>
      <c r="AY1" s="1637"/>
      <c r="AZ1" s="1637"/>
      <c r="BA1" s="1637"/>
      <c r="BB1" s="1637"/>
      <c r="BC1" s="1637"/>
      <c r="BD1" s="1637"/>
      <c r="BE1" s="1637"/>
      <c r="BF1" s="1637"/>
      <c r="BG1" s="1637"/>
      <c r="BH1" s="1637"/>
      <c r="BI1" s="1637"/>
      <c r="BJ1" s="1637"/>
      <c r="BK1" s="1637"/>
      <c r="BL1" s="1637"/>
      <c r="BM1" s="1637"/>
      <c r="BN1" s="1637"/>
      <c r="BO1" s="1637"/>
      <c r="BP1" s="1637"/>
      <c r="BQ1" s="2649"/>
      <c r="BY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4"/>
      <c r="AM2" s="2245"/>
      <c r="AN2" s="2245"/>
      <c r="AO2" s="2245"/>
      <c r="AP2" s="2245"/>
      <c r="AQ2" s="2245"/>
      <c r="AR2" s="2245"/>
      <c r="AS2" s="2246"/>
      <c r="AT2" s="2244"/>
      <c r="AU2" s="2245"/>
      <c r="AV2" s="2245"/>
      <c r="AW2" s="2245"/>
      <c r="AX2" s="2245"/>
      <c r="AY2" s="2245"/>
      <c r="AZ2" s="2245"/>
      <c r="BA2" s="2246"/>
      <c r="BB2" s="2244"/>
      <c r="BC2" s="2245"/>
      <c r="BD2" s="2245"/>
      <c r="BE2" s="2245"/>
      <c r="BF2" s="2245"/>
      <c r="BG2" s="2245"/>
      <c r="BH2" s="2245"/>
      <c r="BI2" s="2246"/>
      <c r="BJ2" s="2244"/>
      <c r="BK2" s="2245"/>
      <c r="BL2" s="2245"/>
      <c r="BM2" s="2245"/>
      <c r="BN2" s="2245"/>
      <c r="BO2" s="2245"/>
      <c r="BP2" s="2245"/>
      <c r="BQ2" s="2650"/>
      <c r="BR2" s="2246"/>
      <c r="BS2" s="1260" t="s">
        <v>405</v>
      </c>
      <c r="BU2" s="502"/>
      <c r="BV2" s="502" t="str">
        <f>IF(T2="","",T2)</f>
        <v>Наименование тарифа</v>
      </c>
      <c r="BW2" s="502"/>
      <c r="BX2" s="502"/>
      <c r="BY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4"/>
      <c r="AM3" s="2245"/>
      <c r="AN3" s="2245"/>
      <c r="AO3" s="2245"/>
      <c r="AP3" s="2245"/>
      <c r="AQ3" s="2245"/>
      <c r="AR3" s="2245"/>
      <c r="AS3" s="2246"/>
      <c r="AT3" s="2244"/>
      <c r="AU3" s="2245"/>
      <c r="AV3" s="2245"/>
      <c r="AW3" s="2245"/>
      <c r="AX3" s="2245"/>
      <c r="AY3" s="2245"/>
      <c r="AZ3" s="2245"/>
      <c r="BA3" s="2246"/>
      <c r="BB3" s="2244"/>
      <c r="BC3" s="2245"/>
      <c r="BD3" s="2245"/>
      <c r="BE3" s="2245"/>
      <c r="BF3" s="2245"/>
      <c r="BG3" s="2245"/>
      <c r="BH3" s="2245"/>
      <c r="BI3" s="2246"/>
      <c r="BJ3" s="2244"/>
      <c r="BK3" s="2245"/>
      <c r="BL3" s="2245"/>
      <c r="BM3" s="2245"/>
      <c r="BN3" s="2245"/>
      <c r="BO3" s="2245"/>
      <c r="BP3" s="2245"/>
      <c r="BQ3" s="2650"/>
      <c r="BR3" s="2246"/>
      <c r="BS3" s="1260" t="s">
        <v>407</v>
      </c>
      <c r="BU3" s="502"/>
      <c r="BV3" s="502" t="str">
        <f>IF(T3="","",T3)</f>
        <v>Территория действия тарифа</v>
      </c>
      <c r="BW3" s="502"/>
      <c r="BX3" s="502"/>
      <c r="BY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4"/>
      <c r="AM4" s="2245"/>
      <c r="AN4" s="2245"/>
      <c r="AO4" s="2245"/>
      <c r="AP4" s="2245"/>
      <c r="AQ4" s="2245"/>
      <c r="AR4" s="2245"/>
      <c r="AS4" s="2246"/>
      <c r="AT4" s="2244"/>
      <c r="AU4" s="2245"/>
      <c r="AV4" s="2245"/>
      <c r="AW4" s="2245"/>
      <c r="AX4" s="2245"/>
      <c r="AY4" s="2245"/>
      <c r="AZ4" s="2245"/>
      <c r="BA4" s="2246"/>
      <c r="BB4" s="2244"/>
      <c r="BC4" s="2245"/>
      <c r="BD4" s="2245"/>
      <c r="BE4" s="2245"/>
      <c r="BF4" s="2245"/>
      <c r="BG4" s="2245"/>
      <c r="BH4" s="2245"/>
      <c r="BI4" s="2246"/>
      <c r="BJ4" s="2244"/>
      <c r="BK4" s="2245"/>
      <c r="BL4" s="2245"/>
      <c r="BM4" s="2245"/>
      <c r="BN4" s="2245"/>
      <c r="BO4" s="2245"/>
      <c r="BP4" s="2245"/>
      <c r="BQ4" s="2650"/>
      <c r="BR4" s="2246"/>
      <c r="BS4" s="1260" t="s">
        <v>409</v>
      </c>
      <c r="BU4" s="502"/>
      <c r="BV4" s="502" t="str">
        <f>IF(T4="","",T4)</f>
        <v>Наименование системы теплоснабжения </v>
      </c>
      <c r="BW4" s="502"/>
      <c r="BX4" s="502"/>
      <c r="BY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410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4"/>
      <c r="AM5" s="2245"/>
      <c r="AN5" s="2245"/>
      <c r="AO5" s="2245"/>
      <c r="AP5" s="2245"/>
      <c r="AQ5" s="2245"/>
      <c r="AR5" s="2245"/>
      <c r="AS5" s="2246"/>
      <c r="AT5" s="2244"/>
      <c r="AU5" s="2245"/>
      <c r="AV5" s="2245"/>
      <c r="AW5" s="2245"/>
      <c r="AX5" s="2245"/>
      <c r="AY5" s="2245"/>
      <c r="AZ5" s="2245"/>
      <c r="BA5" s="2246"/>
      <c r="BB5" s="2244"/>
      <c r="BC5" s="2245"/>
      <c r="BD5" s="2245"/>
      <c r="BE5" s="2245"/>
      <c r="BF5" s="2245"/>
      <c r="BG5" s="2245"/>
      <c r="BH5" s="2245"/>
      <c r="BI5" s="2246"/>
      <c r="BJ5" s="2244"/>
      <c r="BK5" s="2245"/>
      <c r="BL5" s="2245"/>
      <c r="BM5" s="2245"/>
      <c r="BN5" s="2245"/>
      <c r="BO5" s="2245"/>
      <c r="BP5" s="2245"/>
      <c r="BQ5" s="2650"/>
      <c r="BR5" s="2246"/>
      <c r="BS5" s="1260" t="s">
        <v>411</v>
      </c>
      <c r="BU5" s="502"/>
      <c r="BV5" s="502" t="str">
        <f>IF(T5="","",T5)</f>
        <v>Источник тепловой энергии  </v>
      </c>
      <c r="BW5" s="502"/>
      <c r="BX5" s="502"/>
      <c r="BY5" s="1157">
        <v>0</v>
      </c>
    </row>
    <row customHeight="1" ht="47.25" hidden="1">
      <c r="A6" s="1365"/>
      <c r="B6" s="1365"/>
      <c r="C6" s="1365"/>
      <c r="D6" s="1365"/>
      <c r="E6" s="2261"/>
      <c r="F6" s="2261"/>
      <c r="G6" s="2261"/>
      <c r="H6" s="2261"/>
      <c r="I6" s="2258">
        <f>S5&amp;".1"</f>
      </c>
      <c r="J6" s="1365"/>
      <c r="K6" s="1365"/>
      <c r="L6" s="1366" t="s">
        <v>412</v>
      </c>
      <c r="M6" s="539"/>
      <c r="P6" s="2259">
        <v>1</v>
      </c>
      <c r="Q6" s="1333"/>
      <c r="R6" s="358"/>
      <c r="S6" s="1338">
        <f>$I6</f>
      </c>
      <c r="T6" s="287" t="s">
        <v>413</v>
      </c>
      <c r="U6" s="302"/>
      <c r="V6" s="2247"/>
      <c r="W6" s="2248"/>
      <c r="X6" s="2248"/>
      <c r="Y6" s="2248"/>
      <c r="Z6" s="2248"/>
      <c r="AA6" s="2248"/>
      <c r="AB6" s="2248"/>
      <c r="AC6" s="2249"/>
      <c r="AD6" s="2247"/>
      <c r="AE6" s="2248"/>
      <c r="AF6" s="2248"/>
      <c r="AG6" s="2248"/>
      <c r="AH6" s="2248"/>
      <c r="AI6" s="2248"/>
      <c r="AJ6" s="2248"/>
      <c r="AK6" s="2248"/>
      <c r="AL6" s="2247"/>
      <c r="AM6" s="2248"/>
      <c r="AN6" s="2248"/>
      <c r="AO6" s="2248"/>
      <c r="AP6" s="2248"/>
      <c r="AQ6" s="2248"/>
      <c r="AR6" s="2248"/>
      <c r="AS6" s="2249"/>
      <c r="AT6" s="2247"/>
      <c r="AU6" s="2248"/>
      <c r="AV6" s="2248"/>
      <c r="AW6" s="2248"/>
      <c r="AX6" s="2248"/>
      <c r="AY6" s="2248"/>
      <c r="AZ6" s="2248"/>
      <c r="BA6" s="2249"/>
      <c r="BB6" s="2247"/>
      <c r="BC6" s="2248"/>
      <c r="BD6" s="2248"/>
      <c r="BE6" s="2248"/>
      <c r="BF6" s="2248"/>
      <c r="BG6" s="2248"/>
      <c r="BH6" s="2248"/>
      <c r="BI6" s="2249"/>
      <c r="BJ6" s="2247"/>
      <c r="BK6" s="2248"/>
      <c r="BL6" s="2248"/>
      <c r="BM6" s="2248"/>
      <c r="BN6" s="2248"/>
      <c r="BO6" s="2248"/>
      <c r="BP6" s="2248"/>
      <c r="BQ6" s="2651"/>
      <c r="BR6" s="2249"/>
      <c r="BS6" s="1260" t="s">
        <v>414</v>
      </c>
      <c r="BU6" s="502"/>
      <c r="BV6" s="502" t="str">
        <f>IF(T6="","",T6)</f>
        <v>Схема подключения теплопотребляющей установки к коллектору источника тепловой энергии</v>
      </c>
      <c r="BW6" s="502"/>
      <c r="BX6" s="502"/>
      <c r="BY6" s="1157">
        <v>0</v>
      </c>
    </row>
    <row customHeight="1" ht="21" hidden="1">
      <c r="A7" s="1365"/>
      <c r="B7" s="1365"/>
      <c r="C7" s="1365"/>
      <c r="D7" s="1365"/>
      <c r="E7" s="2261"/>
      <c r="F7" s="2261"/>
      <c r="G7" s="2261"/>
      <c r="H7" s="2261"/>
      <c r="I7" s="2288"/>
      <c r="J7" s="2258">
        <f>I6&amp;".1"</f>
      </c>
      <c r="K7" s="1365"/>
      <c r="L7" s="1366" t="s">
        <v>415</v>
      </c>
      <c r="M7" s="539"/>
      <c r="N7" s="1368"/>
      <c r="P7" s="2259"/>
      <c r="Q7" s="2259">
        <v>1</v>
      </c>
      <c r="R7" s="359"/>
      <c r="S7" s="1338">
        <f>$J7</f>
      </c>
      <c r="T7" s="288" t="s">
        <v>416</v>
      </c>
      <c r="U7" s="302"/>
      <c r="V7" s="2247"/>
      <c r="W7" s="2248"/>
      <c r="X7" s="2248"/>
      <c r="Y7" s="2248"/>
      <c r="Z7" s="2248"/>
      <c r="AA7" s="2248"/>
      <c r="AB7" s="2248"/>
      <c r="AC7" s="2249"/>
      <c r="AD7" s="2247"/>
      <c r="AE7" s="2248"/>
      <c r="AF7" s="2248"/>
      <c r="AG7" s="2248"/>
      <c r="AH7" s="2248"/>
      <c r="AI7" s="2248"/>
      <c r="AJ7" s="2248"/>
      <c r="AK7" s="2248"/>
      <c r="AL7" s="2247"/>
      <c r="AM7" s="2248"/>
      <c r="AN7" s="2248"/>
      <c r="AO7" s="2248"/>
      <c r="AP7" s="2248"/>
      <c r="AQ7" s="2248"/>
      <c r="AR7" s="2248"/>
      <c r="AS7" s="2249"/>
      <c r="AT7" s="2247"/>
      <c r="AU7" s="2248"/>
      <c r="AV7" s="2248"/>
      <c r="AW7" s="2248"/>
      <c r="AX7" s="2248"/>
      <c r="AY7" s="2248"/>
      <c r="AZ7" s="2248"/>
      <c r="BA7" s="2249"/>
      <c r="BB7" s="2247"/>
      <c r="BC7" s="2248"/>
      <c r="BD7" s="2248"/>
      <c r="BE7" s="2248"/>
      <c r="BF7" s="2248"/>
      <c r="BG7" s="2248"/>
      <c r="BH7" s="2248"/>
      <c r="BI7" s="2249"/>
      <c r="BJ7" s="2247"/>
      <c r="BK7" s="2248"/>
      <c r="BL7" s="2248"/>
      <c r="BM7" s="2248"/>
      <c r="BN7" s="2248"/>
      <c r="BO7" s="2248"/>
      <c r="BP7" s="2248"/>
      <c r="BQ7" s="2651"/>
      <c r="BR7" s="2249"/>
      <c r="BS7" s="1260" t="s">
        <v>417</v>
      </c>
      <c r="BU7" s="502"/>
      <c r="BV7" s="502" t="str">
        <f>IF(T7="","",T7)</f>
        <v>Группа потребителей</v>
      </c>
      <c r="BW7" s="502"/>
      <c r="BX7" s="502"/>
      <c r="BY7" s="1157">
        <v>0</v>
      </c>
    </row>
    <row customHeight="1" ht="21" hidden="1">
      <c r="A8" s="1365"/>
      <c r="B8" s="1365"/>
      <c r="C8" s="1365"/>
      <c r="D8" s="1365"/>
      <c r="E8" s="2261"/>
      <c r="F8" s="2261"/>
      <c r="G8" s="2261"/>
      <c r="H8" s="2261"/>
      <c r="I8" s="2288"/>
      <c r="J8" s="2288"/>
      <c r="K8" s="2258">
        <f>J7&amp;".1"</f>
      </c>
      <c r="L8" s="1366" t="s">
        <v>418</v>
      </c>
      <c r="M8" s="539"/>
      <c r="N8" s="1368"/>
      <c r="O8" s="1368"/>
      <c r="P8" s="2259"/>
      <c r="Q8" s="2259"/>
      <c r="R8" s="359">
        <v>1</v>
      </c>
      <c r="S8" s="1338">
        <f>$K8</f>
      </c>
      <c r="T8" s="1349"/>
      <c r="U8" s="302"/>
      <c r="V8" s="753"/>
      <c r="W8" s="327"/>
      <c r="X8" s="753"/>
      <c r="Y8" s="1259"/>
      <c r="Z8" s="2267"/>
      <c r="AA8" s="2109" t="s">
        <v>68</v>
      </c>
      <c r="AB8" s="2267"/>
      <c r="AC8" s="2109" t="s">
        <v>68</v>
      </c>
      <c r="AD8" s="753"/>
      <c r="AE8" s="327"/>
      <c r="AF8" s="753"/>
      <c r="AG8" s="1259"/>
      <c r="AH8" s="2267"/>
      <c r="AI8" s="2109" t="s">
        <v>68</v>
      </c>
      <c r="AJ8" s="2267"/>
      <c r="AK8" s="2109" t="s">
        <v>68</v>
      </c>
      <c r="AL8" s="753"/>
      <c r="AM8" s="327"/>
      <c r="AN8" s="753"/>
      <c r="AO8" s="1259"/>
      <c r="AP8" s="2604"/>
      <c r="AQ8" s="2109" t="s">
        <v>68</v>
      </c>
      <c r="AR8" s="2604"/>
      <c r="AS8" s="2109" t="s">
        <v>68</v>
      </c>
      <c r="AT8" s="753"/>
      <c r="AU8" s="327"/>
      <c r="AV8" s="753"/>
      <c r="AW8" s="1259"/>
      <c r="AX8" s="2604"/>
      <c r="AY8" s="2109" t="s">
        <v>68</v>
      </c>
      <c r="AZ8" s="2604"/>
      <c r="BA8" s="2109" t="s">
        <v>68</v>
      </c>
      <c r="BB8" s="753"/>
      <c r="BC8" s="327"/>
      <c r="BD8" s="753"/>
      <c r="BE8" s="1259"/>
      <c r="BF8" s="2604"/>
      <c r="BG8" s="2109" t="s">
        <v>68</v>
      </c>
      <c r="BH8" s="2604"/>
      <c r="BI8" s="2109" t="s">
        <v>68</v>
      </c>
      <c r="BJ8" s="753"/>
      <c r="BK8" s="327"/>
      <c r="BL8" s="753"/>
      <c r="BM8" s="1259"/>
      <c r="BN8" s="2604"/>
      <c r="BO8" s="2109" t="s">
        <v>68</v>
      </c>
      <c r="BP8" s="2604"/>
      <c r="BQ8" s="2652" t="s">
        <v>68</v>
      </c>
      <c r="BR8" s="327"/>
      <c r="BS8" s="2255" t="s">
        <v>419</v>
      </c>
      <c r="BT8" s="513">
        <f>STRCHECKDATE(V9:BR9)</f>
      </c>
      <c r="BU8" s="502"/>
      <c r="BV8" s="502" t="str">
        <f>IF(T8="","",T8)</f>
        <v/>
      </c>
      <c r="BW8" s="502"/>
      <c r="BX8" s="502"/>
      <c r="BY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327"/>
      <c r="AN9" s="327"/>
      <c r="AO9" s="330" t="str">
        <f>AP8&amp;"-"&amp;AR8</f>
        <v>-</v>
      </c>
      <c r="AP9" s="2311"/>
      <c r="AQ9" s="2109"/>
      <c r="AR9" s="2311"/>
      <c r="AS9" s="2109"/>
      <c r="AT9" s="327"/>
      <c r="AU9" s="327"/>
      <c r="AV9" s="327"/>
      <c r="AW9" s="330" t="str">
        <f>AX8&amp;"-"&amp;AZ8</f>
        <v>-</v>
      </c>
      <c r="AX9" s="2311"/>
      <c r="AY9" s="2109"/>
      <c r="AZ9" s="2311"/>
      <c r="BA9" s="2109"/>
      <c r="BB9" s="327"/>
      <c r="BC9" s="327"/>
      <c r="BD9" s="327"/>
      <c r="BE9" s="330" t="str">
        <f>BF8&amp;"-"&amp;BH8</f>
        <v>-</v>
      </c>
      <c r="BF9" s="2311"/>
      <c r="BG9" s="2109"/>
      <c r="BH9" s="2311"/>
      <c r="BI9" s="2109"/>
      <c r="BJ9" s="327"/>
      <c r="BK9" s="327"/>
      <c r="BL9" s="327"/>
      <c r="BM9" s="330" t="str">
        <f>BN8&amp;"-"&amp;BP8</f>
        <v>-</v>
      </c>
      <c r="BN9" s="2311"/>
      <c r="BO9" s="2109"/>
      <c r="BP9" s="2311"/>
      <c r="BQ9" s="2109"/>
      <c r="BR9" s="327"/>
      <c r="BS9" s="2256"/>
      <c r="BU9" s="502"/>
      <c r="BV9" s="502" t="str">
        <f>IF(T9="","",T9)</f>
        <v/>
      </c>
      <c r="BW9" s="502"/>
      <c r="BX9" s="502"/>
      <c r="BY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420</v>
      </c>
      <c r="U10" s="369"/>
      <c r="V10" s="369"/>
      <c r="W10" s="369"/>
      <c r="X10" s="369"/>
      <c r="Y10" s="369"/>
      <c r="Z10" s="369"/>
      <c r="AA10" s="369"/>
      <c r="AB10" s="369"/>
      <c r="AC10" s="369"/>
      <c r="AD10" s="369"/>
      <c r="AE10" s="369"/>
      <c r="AF10" s="369"/>
      <c r="AG10" s="369"/>
      <c r="AH10" s="369"/>
      <c r="AI10" s="369"/>
      <c r="AJ10" s="369"/>
      <c r="AK10" s="369"/>
      <c r="AL10" s="2645"/>
      <c r="AM10" s="2645"/>
      <c r="AN10" s="2645"/>
      <c r="AO10" s="2645"/>
      <c r="AP10" s="2645"/>
      <c r="AQ10" s="2645"/>
      <c r="AR10" s="2645"/>
      <c r="AS10" s="2645"/>
      <c r="AT10" s="2645"/>
      <c r="AU10" s="2645"/>
      <c r="AV10" s="2645"/>
      <c r="AW10" s="2645"/>
      <c r="AX10" s="2645"/>
      <c r="AY10" s="2645"/>
      <c r="AZ10" s="2645"/>
      <c r="BA10" s="2645"/>
      <c r="BB10" s="2645"/>
      <c r="BC10" s="2645"/>
      <c r="BD10" s="2645"/>
      <c r="BE10" s="2645"/>
      <c r="BF10" s="2645"/>
      <c r="BG10" s="2645"/>
      <c r="BH10" s="2645"/>
      <c r="BI10" s="2645"/>
      <c r="BJ10" s="2645"/>
      <c r="BK10" s="2645"/>
      <c r="BL10" s="2645"/>
      <c r="BM10" s="2645"/>
      <c r="BN10" s="2645"/>
      <c r="BO10" s="2645"/>
      <c r="BP10" s="2645"/>
      <c r="BQ10" s="2653"/>
      <c r="BR10" s="326"/>
      <c r="BS10" s="2257"/>
      <c r="BU10" s="502"/>
      <c r="BV10" s="502" t="str">
        <f>IF(T10="","",T10)</f>
        <v>Добавить вид теплоносителя (параметры теплоносителя)</v>
      </c>
      <c r="BW10" s="502"/>
      <c r="BX10" s="502"/>
      <c r="BY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421</v>
      </c>
      <c r="U11" s="369"/>
      <c r="V11" s="369"/>
      <c r="W11" s="369"/>
      <c r="X11" s="369"/>
      <c r="Y11" s="369"/>
      <c r="Z11" s="369"/>
      <c r="AA11" s="369"/>
      <c r="AB11" s="369"/>
      <c r="AC11" s="368"/>
      <c r="AD11" s="369"/>
      <c r="AE11" s="369"/>
      <c r="AF11" s="369"/>
      <c r="AG11" s="369"/>
      <c r="AH11" s="369"/>
      <c r="AI11" s="369"/>
      <c r="AJ11" s="369"/>
      <c r="AK11" s="368"/>
      <c r="AL11" s="2645"/>
      <c r="AM11" s="2645"/>
      <c r="AN11" s="2645"/>
      <c r="AO11" s="2645"/>
      <c r="AP11" s="2645"/>
      <c r="AQ11" s="2645"/>
      <c r="AR11" s="2645"/>
      <c r="AS11" s="2646"/>
      <c r="AT11" s="2645"/>
      <c r="AU11" s="2645"/>
      <c r="AV11" s="2645"/>
      <c r="AW11" s="2645"/>
      <c r="AX11" s="2645"/>
      <c r="AY11" s="2645"/>
      <c r="AZ11" s="2645"/>
      <c r="BA11" s="2646"/>
      <c r="BB11" s="2645"/>
      <c r="BC11" s="2645"/>
      <c r="BD11" s="2645"/>
      <c r="BE11" s="2645"/>
      <c r="BF11" s="2645"/>
      <c r="BG11" s="2645"/>
      <c r="BH11" s="2645"/>
      <c r="BI11" s="2646"/>
      <c r="BJ11" s="2645"/>
      <c r="BK11" s="2645"/>
      <c r="BL11" s="2645"/>
      <c r="BM11" s="2645"/>
      <c r="BN11" s="2645"/>
      <c r="BO11" s="2645"/>
      <c r="BP11" s="2645"/>
      <c r="BQ11" s="2654"/>
      <c r="BR11" s="369"/>
      <c r="BS11" s="305"/>
      <c r="BU11" s="502"/>
      <c r="BV11" s="502" t="str">
        <f>IF(T11="","",T11)</f>
        <v>Добавить группу потребителей</v>
      </c>
      <c r="BW11" s="502"/>
      <c r="BX11" s="502"/>
      <c r="BY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422</v>
      </c>
      <c r="U12" s="369"/>
      <c r="V12" s="369"/>
      <c r="W12" s="369"/>
      <c r="X12" s="369"/>
      <c r="Y12" s="369"/>
      <c r="Z12" s="369"/>
      <c r="AA12" s="369"/>
      <c r="AB12" s="369"/>
      <c r="AC12" s="368"/>
      <c r="AD12" s="369"/>
      <c r="AE12" s="369"/>
      <c r="AF12" s="369"/>
      <c r="AG12" s="369"/>
      <c r="AH12" s="369"/>
      <c r="AI12" s="369"/>
      <c r="AJ12" s="369"/>
      <c r="AK12" s="368"/>
      <c r="AL12" s="2645"/>
      <c r="AM12" s="2645"/>
      <c r="AN12" s="2645"/>
      <c r="AO12" s="2645"/>
      <c r="AP12" s="2645"/>
      <c r="AQ12" s="2645"/>
      <c r="AR12" s="2645"/>
      <c r="AS12" s="2646"/>
      <c r="AT12" s="2645"/>
      <c r="AU12" s="2645"/>
      <c r="AV12" s="2645"/>
      <c r="AW12" s="2645"/>
      <c r="AX12" s="2645"/>
      <c r="AY12" s="2645"/>
      <c r="AZ12" s="2645"/>
      <c r="BA12" s="2646"/>
      <c r="BB12" s="2645"/>
      <c r="BC12" s="2645"/>
      <c r="BD12" s="2645"/>
      <c r="BE12" s="2645"/>
      <c r="BF12" s="2645"/>
      <c r="BG12" s="2645"/>
      <c r="BH12" s="2645"/>
      <c r="BI12" s="2646"/>
      <c r="BJ12" s="2645"/>
      <c r="BK12" s="2645"/>
      <c r="BL12" s="2645"/>
      <c r="BM12" s="2645"/>
      <c r="BN12" s="2645"/>
      <c r="BO12" s="2645"/>
      <c r="BP12" s="2645"/>
      <c r="BQ12" s="2654"/>
      <c r="BR12" s="369"/>
      <c r="BS12" s="305"/>
      <c r="BU12" s="502"/>
      <c r="BV12" s="502" t="str">
        <f>IF(T12="","",T12)</f>
        <v>Добавить схему подключения</v>
      </c>
      <c r="BW12" s="502"/>
      <c r="BX12" s="502"/>
      <c r="BY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172</v>
      </c>
      <c r="U13" s="1322"/>
      <c r="V13" s="1322"/>
      <c r="W13" s="1322"/>
      <c r="X13" s="1322"/>
      <c r="Y13" s="1322"/>
      <c r="Z13" s="1322"/>
      <c r="AA13" s="1322"/>
      <c r="AB13" s="1322"/>
      <c r="AC13" s="1322"/>
      <c r="AD13" s="1322"/>
      <c r="AE13" s="1322"/>
      <c r="AF13" s="1322"/>
      <c r="AG13" s="1322"/>
      <c r="AH13" s="1322"/>
      <c r="AI13" s="1322"/>
      <c r="AJ13" s="1322"/>
      <c r="AK13" s="1322"/>
      <c r="AL13" s="1322"/>
      <c r="AM13" s="1322"/>
      <c r="AN13" s="1322"/>
      <c r="AO13" s="1322"/>
      <c r="AP13" s="1322"/>
      <c r="AQ13" s="1322"/>
      <c r="AR13" s="1322"/>
      <c r="AS13" s="1322"/>
      <c r="AT13" s="1322"/>
      <c r="AU13" s="1322"/>
      <c r="AV13" s="1322"/>
      <c r="AW13" s="1322"/>
      <c r="AX13" s="1322"/>
      <c r="AY13" s="1322"/>
      <c r="AZ13" s="1322"/>
      <c r="BA13" s="1322"/>
      <c r="BB13" s="1322"/>
      <c r="BC13" s="1322"/>
      <c r="BD13" s="1322"/>
      <c r="BE13" s="1322"/>
      <c r="BF13" s="1322"/>
      <c r="BG13" s="1322"/>
      <c r="BH13" s="1322"/>
      <c r="BI13" s="1322"/>
      <c r="BJ13" s="1322"/>
      <c r="BK13" s="1322"/>
      <c r="BL13" s="1322"/>
      <c r="BM13" s="1322"/>
      <c r="BN13" s="1322"/>
      <c r="BO13" s="1322"/>
      <c r="BP13" s="1322"/>
      <c r="BQ13" s="2655"/>
      <c r="BR13" s="1322"/>
      <c r="BS13" s="1322"/>
      <c r="BU13" s="791"/>
      <c r="BV13" s="791" t="str">
        <f>IF(T13="","",T13)</f>
        <v>Добавить источник для дифференциации</v>
      </c>
      <c r="BW13" s="791"/>
      <c r="BX13" s="791"/>
      <c r="BY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173</v>
      </c>
      <c r="U14" s="1326"/>
      <c r="V14" s="1326"/>
      <c r="W14" s="1326"/>
      <c r="X14" s="1326"/>
      <c r="Y14" s="1326"/>
      <c r="Z14" s="1326"/>
      <c r="AA14" s="1326"/>
      <c r="AB14" s="1326"/>
      <c r="AC14" s="1326"/>
      <c r="AD14" s="1326"/>
      <c r="AE14" s="1326"/>
      <c r="AF14" s="1326"/>
      <c r="AG14" s="1326"/>
      <c r="AH14" s="1326"/>
      <c r="AI14" s="1326"/>
      <c r="AJ14" s="1326"/>
      <c r="AK14" s="1326"/>
      <c r="AL14" s="1326"/>
      <c r="AM14" s="1326"/>
      <c r="AN14" s="1326"/>
      <c r="AO14" s="1326"/>
      <c r="AP14" s="1326"/>
      <c r="AQ14" s="1326"/>
      <c r="AR14" s="1326"/>
      <c r="AS14" s="1326"/>
      <c r="AT14" s="1326"/>
      <c r="AU14" s="1326"/>
      <c r="AV14" s="1326"/>
      <c r="AW14" s="1326"/>
      <c r="AX14" s="1326"/>
      <c r="AY14" s="1326"/>
      <c r="AZ14" s="1326"/>
      <c r="BA14" s="1326"/>
      <c r="BB14" s="1326"/>
      <c r="BC14" s="1326"/>
      <c r="BD14" s="1326"/>
      <c r="BE14" s="1326"/>
      <c r="BF14" s="1326"/>
      <c r="BG14" s="1326"/>
      <c r="BH14" s="1326"/>
      <c r="BI14" s="1326"/>
      <c r="BJ14" s="1326"/>
      <c r="BK14" s="1326"/>
      <c r="BL14" s="1326"/>
      <c r="BM14" s="1326"/>
      <c r="BN14" s="1326"/>
      <c r="BO14" s="1326"/>
      <c r="BP14" s="1326"/>
      <c r="BQ14" s="2656"/>
      <c r="BR14" s="1326"/>
      <c r="BS14" s="1326"/>
      <c r="BU14" s="791"/>
      <c r="BV14" s="791" t="str">
        <f>IF(T14="","",T14)</f>
        <v>Добавить централизованную систему для дифференциации</v>
      </c>
      <c r="BW14" s="791"/>
      <c r="BX14" s="791"/>
      <c r="BY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174</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V15" s="1326"/>
      <c r="AW15" s="1326"/>
      <c r="AX15" s="1326"/>
      <c r="AY15" s="1326"/>
      <c r="AZ15" s="1326"/>
      <c r="BA15" s="1326"/>
      <c r="BB15" s="1326"/>
      <c r="BC15" s="1326"/>
      <c r="BD15" s="1326"/>
      <c r="BE15" s="1326"/>
      <c r="BF15" s="1326"/>
      <c r="BG15" s="1326"/>
      <c r="BH15" s="1326"/>
      <c r="BI15" s="1326"/>
      <c r="BJ15" s="1326"/>
      <c r="BK15" s="1326"/>
      <c r="BL15" s="1326"/>
      <c r="BM15" s="1326"/>
      <c r="BN15" s="1326"/>
      <c r="BO15" s="1326"/>
      <c r="BP15" s="1326"/>
      <c r="BQ15" s="2656"/>
      <c r="BR15" s="1326"/>
      <c r="BS15" s="1326"/>
      <c r="BU15" s="791"/>
      <c r="BV15" s="791" t="str">
        <f>IF(T15="","",T15)</f>
        <v>Добавить территорию для дифференциации</v>
      </c>
      <c r="BW15" s="791"/>
      <c r="BX15" s="791"/>
      <c r="BY15" s="520">
        <v>0</v>
      </c>
    </row>
    <row customHeight="1" ht="14.25" hidden="1">
      <c r="AC16" s="329"/>
      <c r="AK16" s="329"/>
      <c r="AL16" s="1637"/>
      <c r="AM16" s="1637"/>
      <c r="AN16" s="1637"/>
      <c r="AO16" s="1637"/>
      <c r="AP16" s="1637"/>
      <c r="AQ16" s="1637"/>
      <c r="AR16" s="1637"/>
      <c r="AS16" s="1637"/>
      <c r="AT16" s="1637"/>
      <c r="AU16" s="1637"/>
      <c r="AV16" s="1637"/>
      <c r="AW16" s="1637"/>
      <c r="AX16" s="1637"/>
      <c r="AY16" s="1637"/>
      <c r="AZ16" s="1637"/>
      <c r="BA16" s="1637"/>
      <c r="BB16" s="1637"/>
      <c r="BC16" s="1637"/>
      <c r="BD16" s="1637"/>
      <c r="BE16" s="1637"/>
      <c r="BF16" s="1637"/>
      <c r="BG16" s="1637"/>
      <c r="BH16" s="1637"/>
      <c r="BI16" s="1637"/>
      <c r="BJ16" s="1637"/>
      <c r="BK16" s="1637"/>
      <c r="BL16" s="1637"/>
      <c r="BM16" s="1637"/>
      <c r="BN16" s="1637"/>
      <c r="BO16" s="1637"/>
      <c r="BP16" s="1637"/>
      <c r="BQ16" s="2649"/>
      <c r="BY16" s="1157">
        <v>0</v>
      </c>
    </row>
    <row customHeight="1" ht="14.25" hidden="1">
      <c r="AD17" s="1362"/>
      <c r="AE17" s="1362"/>
      <c r="AF17" s="1362"/>
      <c r="AG17" s="1363"/>
      <c r="AH17" s="2269"/>
      <c r="AI17" s="2270" t="s">
        <v>68</v>
      </c>
      <c r="AJ17" s="2269"/>
      <c r="AK17" s="2270" t="s">
        <v>68</v>
      </c>
      <c r="AL17" s="1637"/>
      <c r="AM17" s="1637"/>
      <c r="AN17" s="1637"/>
      <c r="AO17" s="1637"/>
      <c r="AP17" s="1637"/>
      <c r="AQ17" s="1637"/>
      <c r="AR17" s="1637"/>
      <c r="AS17" s="1637"/>
      <c r="AT17" s="1637"/>
      <c r="AU17" s="1637"/>
      <c r="AV17" s="1637"/>
      <c r="AW17" s="1637"/>
      <c r="AX17" s="1637"/>
      <c r="AY17" s="1637"/>
      <c r="AZ17" s="1637"/>
      <c r="BA17" s="1637"/>
      <c r="BB17" s="1637"/>
      <c r="BC17" s="1637"/>
      <c r="BD17" s="1637"/>
      <c r="BE17" s="1637"/>
      <c r="BF17" s="1637"/>
      <c r="BG17" s="1637"/>
      <c r="BH17" s="1637"/>
      <c r="BI17" s="1637"/>
      <c r="BJ17" s="1637"/>
      <c r="BK17" s="1637"/>
      <c r="BL17" s="1637"/>
      <c r="BM17" s="1637"/>
      <c r="BN17" s="1637"/>
      <c r="BO17" s="1637"/>
      <c r="BP17" s="1637"/>
      <c r="BQ17" s="2649"/>
      <c r="BY17" s="1157">
        <v>0</v>
      </c>
    </row>
    <row customHeight="1" ht="14.25" hidden="1">
      <c r="AD18" s="1362"/>
      <c r="AE18" s="1362"/>
      <c r="AF18" s="1362"/>
      <c r="AG18" s="330" t="str">
        <f>AH17&amp;"-"&amp;AJ17</f>
        <v>-</v>
      </c>
      <c r="AH18" s="2270"/>
      <c r="AI18" s="2270"/>
      <c r="AJ18" s="2270"/>
      <c r="AK18" s="2270"/>
      <c r="AL18" s="1637"/>
      <c r="AM18" s="1637"/>
      <c r="AN18" s="1637"/>
      <c r="AO18" s="1637"/>
      <c r="AP18" s="1637"/>
      <c r="AQ18" s="1637"/>
      <c r="AR18" s="1637"/>
      <c r="AS18" s="1637"/>
      <c r="AT18" s="1637"/>
      <c r="AU18" s="1637"/>
      <c r="AV18" s="1637"/>
      <c r="AW18" s="1637"/>
      <c r="AX18" s="1637"/>
      <c r="AY18" s="1637"/>
      <c r="AZ18" s="1637"/>
      <c r="BA18" s="1637"/>
      <c r="BB18" s="1637"/>
      <c r="BC18" s="1637"/>
      <c r="BD18" s="1637"/>
      <c r="BE18" s="1637"/>
      <c r="BF18" s="1637"/>
      <c r="BG18" s="1637"/>
      <c r="BH18" s="1637"/>
      <c r="BI18" s="1637"/>
      <c r="BJ18" s="1637"/>
      <c r="BK18" s="1637"/>
      <c r="BL18" s="1637"/>
      <c r="BM18" s="1637"/>
      <c r="BN18" s="1637"/>
      <c r="BO18" s="1637"/>
      <c r="BP18" s="1637"/>
      <c r="BQ18" s="2649"/>
      <c r="BY18" s="1157">
        <v>0</v>
      </c>
    </row>
    <row customHeight="1" ht="14.25" hidden="1">
      <c r="AK19" s="329"/>
      <c r="AL19" s="1637"/>
      <c r="AM19" s="1637"/>
      <c r="AN19" s="1637"/>
      <c r="AO19" s="1637"/>
      <c r="AP19" s="1637"/>
      <c r="AQ19" s="1637"/>
      <c r="AR19" s="1637"/>
      <c r="AS19" s="1637"/>
      <c r="AT19" s="1637"/>
      <c r="AU19" s="1637"/>
      <c r="AV19" s="1637"/>
      <c r="AW19" s="1637"/>
      <c r="AX19" s="1637"/>
      <c r="AY19" s="1637"/>
      <c r="AZ19" s="1637"/>
      <c r="BA19" s="1637"/>
      <c r="BB19" s="1637"/>
      <c r="BC19" s="1637"/>
      <c r="BD19" s="1637"/>
      <c r="BE19" s="1637"/>
      <c r="BF19" s="1637"/>
      <c r="BG19" s="1637"/>
      <c r="BH19" s="1637"/>
      <c r="BI19" s="1637"/>
      <c r="BJ19" s="1637"/>
      <c r="BK19" s="1637"/>
      <c r="BL19" s="1637"/>
      <c r="BM19" s="1637"/>
      <c r="BN19" s="1637"/>
      <c r="BO19" s="1637"/>
      <c r="BP19" s="1637"/>
      <c r="BQ19" s="2649"/>
      <c r="BY19" s="1157">
        <v>0</v>
      </c>
    </row>
    <row s="1368" customFormat="1" customHeight="1" ht="22.5" hidden="1">
      <c r="L20" s="1331"/>
      <c r="M20" s="1364"/>
      <c r="N20" s="1364"/>
      <c r="O20" s="1369" t="s">
        <v>423</v>
      </c>
      <c r="P20" s="1364"/>
      <c r="Q20" s="1373"/>
      <c r="R20" s="1373"/>
      <c r="S20" s="731"/>
      <c r="Z20" s="1369"/>
      <c r="AB20" s="1369"/>
      <c r="AC20" s="1368"/>
      <c r="AH20" s="1369"/>
      <c r="AJ20" s="1369"/>
      <c r="AK20" s="1368"/>
      <c r="AL20" s="1368"/>
      <c r="AM20" s="1368"/>
      <c r="AN20" s="1368"/>
      <c r="AO20" s="1368"/>
      <c r="AP20" s="1369"/>
      <c r="AQ20" s="1368"/>
      <c r="AR20" s="1369"/>
      <c r="AS20" s="1368"/>
      <c r="AT20" s="1368"/>
      <c r="AU20" s="1368"/>
      <c r="AV20" s="1368"/>
      <c r="AW20" s="1368"/>
      <c r="AX20" s="1369"/>
      <c r="AY20" s="1368"/>
      <c r="AZ20" s="1369"/>
      <c r="BA20" s="1368"/>
      <c r="BB20" s="1368"/>
      <c r="BC20" s="1368"/>
      <c r="BD20" s="1368"/>
      <c r="BE20" s="1368"/>
      <c r="BF20" s="1369"/>
      <c r="BG20" s="1368"/>
      <c r="BH20" s="1369"/>
      <c r="BI20" s="1368"/>
      <c r="BJ20" s="1368"/>
      <c r="BK20" s="1368"/>
      <c r="BL20" s="1368"/>
      <c r="BM20" s="1368"/>
      <c r="BN20" s="1369"/>
      <c r="BO20" s="1368"/>
      <c r="BP20" s="1369"/>
      <c r="BQ20" s="2657"/>
      <c r="BT20" s="513"/>
      <c r="BU20" s="513"/>
      <c r="BV20" s="513"/>
      <c r="BW20" s="513"/>
      <c r="BX20" s="513"/>
      <c r="BY20" s="1162">
        <v>0</v>
      </c>
    </row>
    <row s="1368" customFormat="1" customHeight="1" ht="14.25" hidden="1">
      <c r="L21" s="1331"/>
      <c r="M21" s="1364"/>
      <c r="N21" s="1364"/>
      <c r="O21" s="1364"/>
      <c r="P21" s="1364"/>
      <c r="Q21" s="1373"/>
      <c r="R21" s="1373"/>
      <c r="S21" s="731"/>
      <c r="AC21" s="1368"/>
      <c r="AK21" s="1368"/>
      <c r="AL21" s="1368"/>
      <c r="AM21" s="1368"/>
      <c r="AN21" s="1368"/>
      <c r="AO21" s="1368"/>
      <c r="AP21" s="1368"/>
      <c r="AQ21" s="1368"/>
      <c r="AR21" s="1368"/>
      <c r="AS21" s="1368"/>
      <c r="AT21" s="1368"/>
      <c r="AU21" s="1368"/>
      <c r="AV21" s="1368"/>
      <c r="AW21" s="1368"/>
      <c r="AX21" s="1368"/>
      <c r="AY21" s="1368"/>
      <c r="AZ21" s="1368"/>
      <c r="BA21" s="1368"/>
      <c r="BB21" s="1368"/>
      <c r="BC21" s="1368"/>
      <c r="BD21" s="1368"/>
      <c r="BE21" s="1368"/>
      <c r="BF21" s="1368"/>
      <c r="BG21" s="1368"/>
      <c r="BH21" s="1368"/>
      <c r="BI21" s="1368"/>
      <c r="BJ21" s="1368"/>
      <c r="BK21" s="1368"/>
      <c r="BL21" s="1368"/>
      <c r="BM21" s="1368"/>
      <c r="BN21" s="1368"/>
      <c r="BO21" s="1368"/>
      <c r="BP21" s="1368"/>
      <c r="BQ21" s="2657"/>
      <c r="BT21" s="513"/>
      <c r="BU21" s="513"/>
      <c r="BV21" s="513"/>
      <c r="BW21" s="513"/>
      <c r="BX21" s="513"/>
      <c r="BY21" s="1162">
        <v>0</v>
      </c>
    </row>
    <row s="1368" customFormat="1" customHeight="1" ht="14.25" hidden="1">
      <c r="L22" s="1331"/>
      <c r="M22" s="1364"/>
      <c r="N22" s="1364"/>
      <c r="O22" s="1366" t="s">
        <v>424</v>
      </c>
      <c r="P22" s="1364"/>
      <c r="Q22" s="1373"/>
      <c r="R22" s="1373"/>
      <c r="S22" s="731"/>
      <c r="T22" s="1162" t="s">
        <v>425</v>
      </c>
      <c r="AA22" s="188" t="s">
        <v>426</v>
      </c>
      <c r="AC22" s="188" t="s">
        <v>427</v>
      </c>
      <c r="AD22" s="1162" t="s">
        <v>425</v>
      </c>
      <c r="AI22" s="188" t="s">
        <v>428</v>
      </c>
      <c r="AK22" s="188" t="s">
        <v>427</v>
      </c>
      <c r="AL22" s="1368"/>
      <c r="AM22" s="1368"/>
      <c r="AN22" s="1368"/>
      <c r="AO22" s="1368"/>
      <c r="AP22" s="1368"/>
      <c r="AQ22" s="1372" t="s">
        <v>426</v>
      </c>
      <c r="AR22" s="1368"/>
      <c r="AS22" s="1372" t="s">
        <v>427</v>
      </c>
      <c r="AT22" s="1368"/>
      <c r="AU22" s="1368"/>
      <c r="AV22" s="1368"/>
      <c r="AW22" s="1368"/>
      <c r="AX22" s="1368"/>
      <c r="AY22" s="1372" t="s">
        <v>426</v>
      </c>
      <c r="AZ22" s="1368"/>
      <c r="BA22" s="1372" t="s">
        <v>427</v>
      </c>
      <c r="BB22" s="1368"/>
      <c r="BC22" s="1368"/>
      <c r="BD22" s="1368"/>
      <c r="BE22" s="1368"/>
      <c r="BF22" s="1368"/>
      <c r="BG22" s="1372" t="s">
        <v>426</v>
      </c>
      <c r="BH22" s="1368"/>
      <c r="BI22" s="1372" t="s">
        <v>427</v>
      </c>
      <c r="BJ22" s="1368"/>
      <c r="BK22" s="1368"/>
      <c r="BL22" s="1368"/>
      <c r="BM22" s="1368"/>
      <c r="BN22" s="1368"/>
      <c r="BO22" s="1372" t="s">
        <v>426</v>
      </c>
      <c r="BP22" s="1368"/>
      <c r="BQ22" s="2658" t="s">
        <v>427</v>
      </c>
      <c r="BT22" s="513"/>
      <c r="BU22" s="513"/>
      <c r="BV22" s="513"/>
      <c r="BW22" s="513"/>
      <c r="BX22" s="513"/>
      <c r="BY22" s="1162">
        <v>0</v>
      </c>
    </row>
    <row customHeight="1" ht="14.25" hidden="1">
      <c r="O23" s="1366"/>
      <c r="AL23" s="1637"/>
      <c r="AM23" s="1637"/>
      <c r="AN23" s="1637"/>
      <c r="AO23" s="1637"/>
      <c r="AP23" s="1637"/>
      <c r="AQ23" s="1637"/>
      <c r="AR23" s="1637"/>
      <c r="AS23" s="1637"/>
      <c r="AT23" s="1637"/>
      <c r="AU23" s="1637"/>
      <c r="AV23" s="1637"/>
      <c r="AW23" s="1637"/>
      <c r="AX23" s="1637"/>
      <c r="AY23" s="1637"/>
      <c r="AZ23" s="1637"/>
      <c r="BA23" s="1637"/>
      <c r="BB23" s="1637"/>
      <c r="BC23" s="1637"/>
      <c r="BD23" s="1637"/>
      <c r="BE23" s="1637"/>
      <c r="BF23" s="1637"/>
      <c r="BG23" s="1637"/>
      <c r="BH23" s="1637"/>
      <c r="BI23" s="1637"/>
      <c r="BJ23" s="1637"/>
      <c r="BK23" s="1637"/>
      <c r="BL23" s="1637"/>
      <c r="BM23" s="1637"/>
      <c r="BN23" s="1637"/>
      <c r="BO23" s="1637"/>
      <c r="BP23" s="1637"/>
      <c r="BQ23" s="2649"/>
      <c r="BY23" s="1157">
        <v>0</v>
      </c>
    </row>
    <row customHeight="1" ht="14.25" hidden="1">
      <c r="O24" s="1366"/>
      <c r="AL24" s="1637"/>
      <c r="AM24" s="1637"/>
      <c r="AN24" s="1637"/>
      <c r="AO24" s="1637"/>
      <c r="AP24" s="1637"/>
      <c r="AQ24" s="1637"/>
      <c r="AR24" s="1637"/>
      <c r="AS24" s="1637"/>
      <c r="AT24" s="1637"/>
      <c r="AU24" s="1637"/>
      <c r="AV24" s="1637"/>
      <c r="AW24" s="1637"/>
      <c r="AX24" s="1637"/>
      <c r="AY24" s="1637"/>
      <c r="AZ24" s="1637"/>
      <c r="BA24" s="1637"/>
      <c r="BB24" s="1637"/>
      <c r="BC24" s="1637"/>
      <c r="BD24" s="1637"/>
      <c r="BE24" s="1637"/>
      <c r="BF24" s="1637"/>
      <c r="BG24" s="1637"/>
      <c r="BH24" s="1637"/>
      <c r="BI24" s="1637"/>
      <c r="BJ24" s="1637"/>
      <c r="BK24" s="1637"/>
      <c r="BL24" s="1637"/>
      <c r="BM24" s="1637"/>
      <c r="BN24" s="1637"/>
      <c r="BO24" s="1637"/>
      <c r="BP24" s="1637"/>
      <c r="BQ24" s="2649"/>
      <c r="BY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L25" s="1637"/>
      <c r="AM25" s="1637"/>
      <c r="AN25" s="1637"/>
      <c r="AO25" s="1637"/>
      <c r="AP25" s="1637"/>
      <c r="AQ25" s="1637"/>
      <c r="AR25" s="1637"/>
      <c r="AS25" s="1637"/>
      <c r="AT25" s="1637"/>
      <c r="AU25" s="1637"/>
      <c r="AV25" s="1637"/>
      <c r="AW25" s="1637"/>
      <c r="AX25" s="1637"/>
      <c r="AY25" s="1637"/>
      <c r="AZ25" s="1637"/>
      <c r="BA25" s="1637"/>
      <c r="BB25" s="1637"/>
      <c r="BC25" s="1637"/>
      <c r="BD25" s="1637"/>
      <c r="BE25" s="1637"/>
      <c r="BF25" s="1637"/>
      <c r="BG25" s="1637"/>
      <c r="BH25" s="1637"/>
      <c r="BI25" s="1637"/>
      <c r="BJ25" s="1637"/>
      <c r="BK25" s="1637"/>
      <c r="BL25" s="1637"/>
      <c r="BM25" s="1637"/>
      <c r="BN25" s="1637"/>
      <c r="BO25" s="1637"/>
      <c r="BP25" s="1637"/>
      <c r="BQ25" s="2649"/>
      <c r="BY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L26" s="2250"/>
      <c r="AM26" s="2250"/>
      <c r="AN26" s="2250"/>
      <c r="AO26" s="2250"/>
      <c r="AP26" s="2250"/>
      <c r="AQ26" s="2250"/>
      <c r="AR26" s="2250"/>
      <c r="AS26" s="2250"/>
      <c r="AT26" s="2250"/>
      <c r="AU26" s="2250"/>
      <c r="AV26" s="2250"/>
      <c r="AW26" s="2250"/>
      <c r="AX26" s="2250"/>
      <c r="AY26" s="2250"/>
      <c r="AZ26" s="2250"/>
      <c r="BA26" s="2250"/>
      <c r="BB26" s="2250"/>
      <c r="BC26" s="2250"/>
      <c r="BD26" s="2250"/>
      <c r="BE26" s="2250"/>
      <c r="BF26" s="2250"/>
      <c r="BG26" s="2250"/>
      <c r="BH26" s="2250"/>
      <c r="BI26" s="2250"/>
      <c r="BJ26" s="2250"/>
      <c r="BK26" s="2250"/>
      <c r="BL26" s="2250"/>
      <c r="BM26" s="2250"/>
      <c r="BN26" s="2250"/>
      <c r="BO26" s="2250"/>
      <c r="BP26" s="2250"/>
      <c r="BQ26" s="2659"/>
      <c r="BY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L27" s="2251"/>
      <c r="AM27" s="2251"/>
      <c r="AN27" s="2251"/>
      <c r="AO27" s="2251"/>
      <c r="AP27" s="2251"/>
      <c r="AQ27" s="2251"/>
      <c r="AR27" s="2251"/>
      <c r="AS27" s="2251"/>
      <c r="AT27" s="2251"/>
      <c r="AU27" s="2251"/>
      <c r="AV27" s="2251"/>
      <c r="AW27" s="2251"/>
      <c r="AX27" s="2251"/>
      <c r="AY27" s="2251"/>
      <c r="AZ27" s="2251"/>
      <c r="BA27" s="2251"/>
      <c r="BB27" s="2251"/>
      <c r="BC27" s="2251"/>
      <c r="BD27" s="2251"/>
      <c r="BE27" s="2251"/>
      <c r="BF27" s="2251"/>
      <c r="BG27" s="2251"/>
      <c r="BH27" s="2251"/>
      <c r="BI27" s="2251"/>
      <c r="BJ27" s="2251"/>
      <c r="BK27" s="2251"/>
      <c r="BL27" s="2251"/>
      <c r="BM27" s="2251"/>
      <c r="BN27" s="2251"/>
      <c r="BO27" s="2251"/>
      <c r="BP27" s="2251"/>
      <c r="BQ27" s="2660"/>
      <c r="BY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324"/>
      <c r="AM28" s="324"/>
      <c r="AN28" s="324"/>
      <c r="AO28" s="324"/>
      <c r="AP28" s="324"/>
      <c r="AQ28" s="324"/>
      <c r="AR28" s="324"/>
      <c r="AS28" s="324"/>
      <c r="AT28" s="324"/>
      <c r="AU28" s="324"/>
      <c r="AV28" s="324"/>
      <c r="AW28" s="324"/>
      <c r="AX28" s="324"/>
      <c r="AY28" s="324"/>
      <c r="AZ28" s="324"/>
      <c r="BA28" s="324"/>
      <c r="BB28" s="324"/>
      <c r="BC28" s="324"/>
      <c r="BD28" s="324"/>
      <c r="BE28" s="324"/>
      <c r="BF28" s="324"/>
      <c r="BG28" s="324"/>
      <c r="BH28" s="324"/>
      <c r="BI28" s="324"/>
      <c r="BJ28" s="324"/>
      <c r="BK28" s="324"/>
      <c r="BL28" s="324"/>
      <c r="BM28" s="324"/>
      <c r="BN28" s="324"/>
      <c r="BO28" s="324"/>
      <c r="BP28" s="324"/>
      <c r="BQ28" s="2661"/>
      <c r="BR28" s="511"/>
      <c r="BY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43</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2253" t="str">
        <f>IF(TITLE_NAME_OR_PR_CHANGE="",IF(TITLE_NAME_OR_PR="","",TITLE_NAME_OR_PR),TITLE_NAME_OR_PR_CHANGE)</f>
        <v/>
      </c>
      <c r="AM29" s="2253"/>
      <c r="AN29" s="2253"/>
      <c r="AO29" s="2253"/>
      <c r="AP29" s="2253"/>
      <c r="AQ29" s="2253"/>
      <c r="AR29" s="2253"/>
      <c r="AS29" s="1637"/>
      <c r="AT29" s="2253" t="str">
        <f>IF(TITLE_NAME_OR_PR_CHANGE="",IF(TITLE_NAME_OR_PR="","",TITLE_NAME_OR_PR),TITLE_NAME_OR_PR_CHANGE)</f>
        <v/>
      </c>
      <c r="AU29" s="2253"/>
      <c r="AV29" s="2253"/>
      <c r="AW29" s="2253"/>
      <c r="AX29" s="2253"/>
      <c r="AY29" s="2253"/>
      <c r="AZ29" s="2253"/>
      <c r="BA29" s="1637"/>
      <c r="BB29" s="2253" t="str">
        <f>IF(TITLE_NAME_OR_PR_CHANGE="",IF(TITLE_NAME_OR_PR="","",TITLE_NAME_OR_PR),TITLE_NAME_OR_PR_CHANGE)</f>
        <v/>
      </c>
      <c r="BC29" s="2253"/>
      <c r="BD29" s="2253"/>
      <c r="BE29" s="2253"/>
      <c r="BF29" s="2253"/>
      <c r="BG29" s="2253"/>
      <c r="BH29" s="2253"/>
      <c r="BI29" s="1637"/>
      <c r="BJ29" s="2253" t="str">
        <f>IF(TITLE_NAME_OR_PR_CHANGE="",IF(TITLE_NAME_OR_PR="","",TITLE_NAME_OR_PR),TITLE_NAME_OR_PR_CHANGE)</f>
        <v/>
      </c>
      <c r="BK29" s="2253"/>
      <c r="BL29" s="2253"/>
      <c r="BM29" s="2253"/>
      <c r="BN29" s="2253"/>
      <c r="BO29" s="2253"/>
      <c r="BP29" s="2253"/>
      <c r="BQ29" s="2649"/>
      <c r="BR29" s="328"/>
      <c r="BS29" s="282"/>
      <c r="BT29" s="370"/>
      <c r="BU29" s="370"/>
      <c r="BV29" s="370"/>
      <c r="BW29" s="370"/>
      <c r="BX29" s="370"/>
      <c r="B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429</v>
      </c>
      <c r="T30" s="2252"/>
      <c r="U30" s="1374"/>
      <c r="V30" s="2266" t="str">
        <f>IF(TITLE_DATE_PR_CHANGE="",IF(TITLE_DATE_PR="","",TITLE_DATE_PR),TITLE_DATE_PR_CHANGE)</f>
        <v>46141.35650462963</v>
      </c>
      <c r="W30" s="2266"/>
      <c r="X30" s="2266"/>
      <c r="Y30" s="2266"/>
      <c r="Z30" s="2266"/>
      <c r="AA30" s="2266"/>
      <c r="AB30" s="2266"/>
      <c r="AC30" s="328"/>
      <c r="AD30" s="2266" t="str">
        <f>IF(TITLE_DATE_PR_CHANGE="",IF(TITLE_DATE_PR="","",TITLE_DATE_PR),TITLE_DATE_PR_CHANGE)</f>
        <v>46141.35650462963</v>
      </c>
      <c r="AE30" s="2266"/>
      <c r="AF30" s="2266"/>
      <c r="AG30" s="2266"/>
      <c r="AH30" s="2266"/>
      <c r="AI30" s="2266"/>
      <c r="AJ30" s="2266"/>
      <c r="AK30" s="328"/>
      <c r="AL30" s="2266" t="str">
        <f>IF(TITLE_DATE_PR_CHANGE="",IF(TITLE_DATE_PR="","",TITLE_DATE_PR),TITLE_DATE_PR_CHANGE)</f>
        <v>46141.35650462963</v>
      </c>
      <c r="AM30" s="2266"/>
      <c r="AN30" s="2266"/>
      <c r="AO30" s="2266"/>
      <c r="AP30" s="2266"/>
      <c r="AQ30" s="2266"/>
      <c r="AR30" s="2266"/>
      <c r="AS30" s="1637"/>
      <c r="AT30" s="2266" t="str">
        <f>IF(TITLE_DATE_PR_CHANGE="",IF(TITLE_DATE_PR="","",TITLE_DATE_PR),TITLE_DATE_PR_CHANGE)</f>
        <v>46141.35650462963</v>
      </c>
      <c r="AU30" s="2266"/>
      <c r="AV30" s="2266"/>
      <c r="AW30" s="2266"/>
      <c r="AX30" s="2266"/>
      <c r="AY30" s="2266"/>
      <c r="AZ30" s="2266"/>
      <c r="BA30" s="1637"/>
      <c r="BB30" s="2266" t="str">
        <f>IF(TITLE_DATE_PR_CHANGE="",IF(TITLE_DATE_PR="","",TITLE_DATE_PR),TITLE_DATE_PR_CHANGE)</f>
        <v>46141.35650462963</v>
      </c>
      <c r="BC30" s="2266"/>
      <c r="BD30" s="2266"/>
      <c r="BE30" s="2266"/>
      <c r="BF30" s="2266"/>
      <c r="BG30" s="2266"/>
      <c r="BH30" s="2266"/>
      <c r="BI30" s="1637"/>
      <c r="BJ30" s="2266" t="str">
        <f>IF(TITLE_DATE_PR_CHANGE="",IF(TITLE_DATE_PR="","",TITLE_DATE_PR),TITLE_DATE_PR_CHANGE)</f>
        <v>46141.35650462963</v>
      </c>
      <c r="BK30" s="2266"/>
      <c r="BL30" s="2266"/>
      <c r="BM30" s="2266"/>
      <c r="BN30" s="2266"/>
      <c r="BO30" s="2266"/>
      <c r="BP30" s="2266"/>
      <c r="BQ30" s="2649"/>
      <c r="BR30" s="328"/>
      <c r="BS30" s="282"/>
      <c r="BT30" s="370"/>
      <c r="BU30" s="370"/>
      <c r="BV30" s="370"/>
      <c r="BW30" s="370"/>
      <c r="BX30" s="370"/>
      <c r="BY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430</v>
      </c>
      <c r="T31" s="2252"/>
      <c r="U31" s="1374"/>
      <c r="V31" s="2253" t="str">
        <f>IF(TITLE_NUMBER_PR_CHANGE="",IF(TITLE_NUMBER_PR="","",TITLE_NUMBER_PR),TITLE_NUMBER_PR_CHANGE)</f>
        <v>вх. О-1106 (исх. №382 от 29.04.2026)</v>
      </c>
      <c r="W31" s="2253"/>
      <c r="X31" s="2253"/>
      <c r="Y31" s="2253"/>
      <c r="Z31" s="2253"/>
      <c r="AA31" s="2253"/>
      <c r="AB31" s="2253"/>
      <c r="AC31" s="328"/>
      <c r="AD31" s="2253" t="str">
        <f>IF(TITLE_NUMBER_PR_CHANGE="",IF(TITLE_NUMBER_PR="","",TITLE_NUMBER_PR),TITLE_NUMBER_PR_CHANGE)</f>
        <v>вх. О-1106 (исх. №382 от 29.04.2026)</v>
      </c>
      <c r="AE31" s="2253"/>
      <c r="AF31" s="2253"/>
      <c r="AG31" s="2253"/>
      <c r="AH31" s="2253"/>
      <c r="AI31" s="2253"/>
      <c r="AJ31" s="2253"/>
      <c r="AK31" s="328"/>
      <c r="AL31" s="2253" t="str">
        <f>IF(TITLE_NUMBER_PR_CHANGE="",IF(TITLE_NUMBER_PR="","",TITLE_NUMBER_PR),TITLE_NUMBER_PR_CHANGE)</f>
        <v>вх. О-1106 (исх. №382 от 29.04.2026)</v>
      </c>
      <c r="AM31" s="2253"/>
      <c r="AN31" s="2253"/>
      <c r="AO31" s="2253"/>
      <c r="AP31" s="2253"/>
      <c r="AQ31" s="2253"/>
      <c r="AR31" s="2253"/>
      <c r="AS31" s="1637"/>
      <c r="AT31" s="2253" t="str">
        <f>IF(TITLE_NUMBER_PR_CHANGE="",IF(TITLE_NUMBER_PR="","",TITLE_NUMBER_PR),TITLE_NUMBER_PR_CHANGE)</f>
        <v>вх. О-1106 (исх. №382 от 29.04.2026)</v>
      </c>
      <c r="AU31" s="2253"/>
      <c r="AV31" s="2253"/>
      <c r="AW31" s="2253"/>
      <c r="AX31" s="2253"/>
      <c r="AY31" s="2253"/>
      <c r="AZ31" s="2253"/>
      <c r="BA31" s="1637"/>
      <c r="BB31" s="2253" t="str">
        <f>IF(TITLE_NUMBER_PR_CHANGE="",IF(TITLE_NUMBER_PR="","",TITLE_NUMBER_PR),TITLE_NUMBER_PR_CHANGE)</f>
        <v>вх. О-1106 (исх. №382 от 29.04.2026)</v>
      </c>
      <c r="BC31" s="2253"/>
      <c r="BD31" s="2253"/>
      <c r="BE31" s="2253"/>
      <c r="BF31" s="2253"/>
      <c r="BG31" s="2253"/>
      <c r="BH31" s="2253"/>
      <c r="BI31" s="1637"/>
      <c r="BJ31" s="2253" t="str">
        <f>IF(TITLE_NUMBER_PR_CHANGE="",IF(TITLE_NUMBER_PR="","",TITLE_NUMBER_PR),TITLE_NUMBER_PR_CHANGE)</f>
        <v>вх. О-1106 (исх. №382 от 29.04.2026)</v>
      </c>
      <c r="BK31" s="2253"/>
      <c r="BL31" s="2253"/>
      <c r="BM31" s="2253"/>
      <c r="BN31" s="2253"/>
      <c r="BO31" s="2253"/>
      <c r="BP31" s="2253"/>
      <c r="BQ31" s="2649"/>
      <c r="BR31" s="328"/>
      <c r="BS31" s="282"/>
      <c r="BT31" s="370"/>
      <c r="BU31" s="370"/>
      <c r="BV31" s="370"/>
      <c r="BW31" s="370"/>
      <c r="BX31" s="370"/>
      <c r="BY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44</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2253" t="str">
        <f>IF(TITLE_IST_PUB_CHANGE="",IF(TITLE_IST_PUB="","",TITLE_IST_PUB),TITLE_IST_PUB_CHANGE)</f>
        <v/>
      </c>
      <c r="AM32" s="2253"/>
      <c r="AN32" s="2253"/>
      <c r="AO32" s="2253"/>
      <c r="AP32" s="2253"/>
      <c r="AQ32" s="2253"/>
      <c r="AR32" s="2253"/>
      <c r="AS32" s="1637"/>
      <c r="AT32" s="2253" t="str">
        <f>IF(TITLE_IST_PUB_CHANGE="",IF(TITLE_IST_PUB="","",TITLE_IST_PUB),TITLE_IST_PUB_CHANGE)</f>
        <v/>
      </c>
      <c r="AU32" s="2253"/>
      <c r="AV32" s="2253"/>
      <c r="AW32" s="2253"/>
      <c r="AX32" s="2253"/>
      <c r="AY32" s="2253"/>
      <c r="AZ32" s="2253"/>
      <c r="BA32" s="1637"/>
      <c r="BB32" s="2253" t="str">
        <f>IF(TITLE_IST_PUB_CHANGE="",IF(TITLE_IST_PUB="","",TITLE_IST_PUB),TITLE_IST_PUB_CHANGE)</f>
        <v/>
      </c>
      <c r="BC32" s="2253"/>
      <c r="BD32" s="2253"/>
      <c r="BE32" s="2253"/>
      <c r="BF32" s="2253"/>
      <c r="BG32" s="2253"/>
      <c r="BH32" s="2253"/>
      <c r="BI32" s="1637"/>
      <c r="BJ32" s="2253" t="str">
        <f>IF(TITLE_IST_PUB_CHANGE="",IF(TITLE_IST_PUB="","",TITLE_IST_PUB),TITLE_IST_PUB_CHANGE)</f>
        <v/>
      </c>
      <c r="BK32" s="2253"/>
      <c r="BL32" s="2253"/>
      <c r="BM32" s="2253"/>
      <c r="BN32" s="2253"/>
      <c r="BO32" s="2253"/>
      <c r="BP32" s="2253"/>
      <c r="BQ32" s="2649"/>
      <c r="BR32" s="328"/>
      <c r="BS32" s="282"/>
      <c r="BT32" s="370"/>
      <c r="BU32" s="370"/>
      <c r="BV32" s="370"/>
      <c r="BW32" s="370"/>
      <c r="BX32" s="370"/>
      <c r="BY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324"/>
      <c r="AM33" s="324"/>
      <c r="AN33" s="324"/>
      <c r="AO33" s="324"/>
      <c r="AP33" s="324"/>
      <c r="AQ33" s="324"/>
      <c r="AR33" s="324"/>
      <c r="AS33" s="324"/>
      <c r="AT33" s="324"/>
      <c r="AU33" s="324"/>
      <c r="AV33" s="324"/>
      <c r="AW33" s="324"/>
      <c r="AX33" s="324"/>
      <c r="AY33" s="324"/>
      <c r="AZ33" s="324"/>
      <c r="BA33" s="324"/>
      <c r="BB33" s="324"/>
      <c r="BC33" s="324"/>
      <c r="BD33" s="324"/>
      <c r="BE33" s="324"/>
      <c r="BF33" s="324"/>
      <c r="BG33" s="324"/>
      <c r="BH33" s="324"/>
      <c r="BI33" s="324"/>
      <c r="BJ33" s="324"/>
      <c r="BK33" s="324"/>
      <c r="BL33" s="324"/>
      <c r="BM33" s="324"/>
      <c r="BN33" s="324"/>
      <c r="BO33" s="324"/>
      <c r="BP33" s="324"/>
      <c r="BQ33" s="2661"/>
      <c r="BR33" s="511"/>
      <c r="BY33" s="1157">
        <v>0</v>
      </c>
    </row>
    <row s="1855" customFormat="1" customHeight="1" ht="18.75">
      <c r="A34" s="1370"/>
      <c r="B34" s="1370"/>
      <c r="C34" s="1370"/>
      <c r="D34" s="1370"/>
      <c r="E34" s="1370"/>
      <c r="F34" s="1370"/>
      <c r="G34" s="1370"/>
      <c r="H34" s="1370"/>
      <c r="I34" s="1370"/>
      <c r="J34" s="1370"/>
      <c r="K34" s="1370"/>
      <c r="L34" s="1371"/>
      <c r="M34" s="1370"/>
      <c r="N34" s="1370"/>
      <c r="O34" s="1370"/>
      <c r="S34" s="2252" t="s">
        <v>431</v>
      </c>
      <c r="T34" s="2252"/>
      <c r="U34" s="1374"/>
      <c r="V34" s="2266" t="str">
        <f>IF(TITLE_DATE_PR_CHANGE="",IF(TITLE_DATE_PR="","",TITLE_DATE_PR),TITLE_DATE_PR_CHANGE)</f>
        <v>46141.35650462963</v>
      </c>
      <c r="W34" s="2266"/>
      <c r="X34" s="2266"/>
      <c r="Y34" s="2266"/>
      <c r="Z34" s="2266"/>
      <c r="AA34" s="2266"/>
      <c r="AB34" s="2266"/>
      <c r="AC34" s="328"/>
      <c r="AD34" s="2266" t="str">
        <f>IF(TITLE_DATE_PR_CHANGE="",IF(TITLE_DATE_PR="","",TITLE_DATE_PR),TITLE_DATE_PR_CHANGE)</f>
        <v>46141.35650462963</v>
      </c>
      <c r="AE34" s="2266"/>
      <c r="AF34" s="2266"/>
      <c r="AG34" s="2266"/>
      <c r="AH34" s="2266"/>
      <c r="AI34" s="2266"/>
      <c r="AJ34" s="2266"/>
      <c r="AK34" s="328"/>
      <c r="AL34" s="2266" t="str">
        <f>IF(TITLE_DATE_PR_CHANGE="",IF(TITLE_DATE_PR="","",TITLE_DATE_PR),TITLE_DATE_PR_CHANGE)</f>
        <v>46141.35650462963</v>
      </c>
      <c r="AM34" s="2266"/>
      <c r="AN34" s="2266"/>
      <c r="AO34" s="2266"/>
      <c r="AP34" s="2266"/>
      <c r="AQ34" s="2266"/>
      <c r="AR34" s="2266"/>
      <c r="AS34" s="1637"/>
      <c r="AT34" s="2266" t="str">
        <f>IF(TITLE_DATE_PR_CHANGE="",IF(TITLE_DATE_PR="","",TITLE_DATE_PR),TITLE_DATE_PR_CHANGE)</f>
        <v>46141.35650462963</v>
      </c>
      <c r="AU34" s="2266"/>
      <c r="AV34" s="2266"/>
      <c r="AW34" s="2266"/>
      <c r="AX34" s="2266"/>
      <c r="AY34" s="2266"/>
      <c r="AZ34" s="2266"/>
      <c r="BA34" s="1637"/>
      <c r="BB34" s="2266" t="str">
        <f>IF(TITLE_DATE_PR_CHANGE="",IF(TITLE_DATE_PR="","",TITLE_DATE_PR),TITLE_DATE_PR_CHANGE)</f>
        <v>46141.35650462963</v>
      </c>
      <c r="BC34" s="2266"/>
      <c r="BD34" s="2266"/>
      <c r="BE34" s="2266"/>
      <c r="BF34" s="2266"/>
      <c r="BG34" s="2266"/>
      <c r="BH34" s="2266"/>
      <c r="BI34" s="1637"/>
      <c r="BJ34" s="2266" t="str">
        <f>IF(TITLE_DATE_PR_CHANGE="",IF(TITLE_DATE_PR="","",TITLE_DATE_PR),TITLE_DATE_PR_CHANGE)</f>
        <v>46141.35650462963</v>
      </c>
      <c r="BK34" s="2266"/>
      <c r="BL34" s="2266"/>
      <c r="BM34" s="2266"/>
      <c r="BN34" s="2266"/>
      <c r="BO34" s="2266"/>
      <c r="BP34" s="2266"/>
      <c r="BQ34" s="2649"/>
      <c r="BR34" s="328"/>
      <c r="BS34" s="282"/>
      <c r="BT34" s="370"/>
      <c r="BU34" s="370"/>
      <c r="BV34" s="370"/>
      <c r="BW34" s="370"/>
      <c r="BX34" s="370"/>
      <c r="BY34" s="420">
        <v>0</v>
      </c>
    </row>
    <row s="1855" customFormat="1" customHeight="1" ht="18.75">
      <c r="A35" s="1370"/>
      <c r="B35" s="1370"/>
      <c r="C35" s="1370"/>
      <c r="D35" s="1370"/>
      <c r="E35" s="1370"/>
      <c r="F35" s="1370"/>
      <c r="G35" s="1370"/>
      <c r="H35" s="1370"/>
      <c r="I35" s="1370"/>
      <c r="J35" s="1370"/>
      <c r="K35" s="1370"/>
      <c r="L35" s="1371"/>
      <c r="M35" s="1370"/>
      <c r="N35" s="1370"/>
      <c r="O35" s="1370"/>
      <c r="S35" s="2252" t="s">
        <v>432</v>
      </c>
      <c r="T35" s="2252"/>
      <c r="U35" s="1374"/>
      <c r="V35" s="2253" t="str">
        <f>IF(TITLE_NUMBER_PR_CHANGE="",IF(TITLE_NUMBER_PR="","",TITLE_NUMBER_PR),TITLE_NUMBER_PR_CHANGE)</f>
        <v>вх. О-1106 (исх. №382 от 29.04.2026)</v>
      </c>
      <c r="W35" s="2253"/>
      <c r="X35" s="2253"/>
      <c r="Y35" s="2253"/>
      <c r="Z35" s="2253"/>
      <c r="AA35" s="2253"/>
      <c r="AB35" s="2253"/>
      <c r="AC35" s="328"/>
      <c r="AD35" s="2253" t="str">
        <f>IF(TITLE_NUMBER_PR_CHANGE="",IF(TITLE_NUMBER_PR="","",TITLE_NUMBER_PR),TITLE_NUMBER_PR_CHANGE)</f>
        <v>вх. О-1106 (исх. №382 от 29.04.2026)</v>
      </c>
      <c r="AE35" s="2253"/>
      <c r="AF35" s="2253"/>
      <c r="AG35" s="2253"/>
      <c r="AH35" s="2253"/>
      <c r="AI35" s="2253"/>
      <c r="AJ35" s="2253"/>
      <c r="AK35" s="328"/>
      <c r="AL35" s="2253" t="str">
        <f>IF(TITLE_NUMBER_PR_CHANGE="",IF(TITLE_NUMBER_PR="","",TITLE_NUMBER_PR),TITLE_NUMBER_PR_CHANGE)</f>
        <v>вх. О-1106 (исх. №382 от 29.04.2026)</v>
      </c>
      <c r="AM35" s="2253"/>
      <c r="AN35" s="2253"/>
      <c r="AO35" s="2253"/>
      <c r="AP35" s="2253"/>
      <c r="AQ35" s="2253"/>
      <c r="AR35" s="2253"/>
      <c r="AS35" s="1637"/>
      <c r="AT35" s="2253" t="str">
        <f>IF(TITLE_NUMBER_PR_CHANGE="",IF(TITLE_NUMBER_PR="","",TITLE_NUMBER_PR),TITLE_NUMBER_PR_CHANGE)</f>
        <v>вх. О-1106 (исх. №382 от 29.04.2026)</v>
      </c>
      <c r="AU35" s="2253"/>
      <c r="AV35" s="2253"/>
      <c r="AW35" s="2253"/>
      <c r="AX35" s="2253"/>
      <c r="AY35" s="2253"/>
      <c r="AZ35" s="2253"/>
      <c r="BA35" s="1637"/>
      <c r="BB35" s="2253" t="str">
        <f>IF(TITLE_NUMBER_PR_CHANGE="",IF(TITLE_NUMBER_PR="","",TITLE_NUMBER_PR),TITLE_NUMBER_PR_CHANGE)</f>
        <v>вх. О-1106 (исх. №382 от 29.04.2026)</v>
      </c>
      <c r="BC35" s="2253"/>
      <c r="BD35" s="2253"/>
      <c r="BE35" s="2253"/>
      <c r="BF35" s="2253"/>
      <c r="BG35" s="2253"/>
      <c r="BH35" s="2253"/>
      <c r="BI35" s="1637"/>
      <c r="BJ35" s="2253" t="str">
        <f>IF(TITLE_NUMBER_PR_CHANGE="",IF(TITLE_NUMBER_PR="","",TITLE_NUMBER_PR),TITLE_NUMBER_PR_CHANGE)</f>
        <v>вх. О-1106 (исх. №382 от 29.04.2026)</v>
      </c>
      <c r="BK35" s="2253"/>
      <c r="BL35" s="2253"/>
      <c r="BM35" s="2253"/>
      <c r="BN35" s="2253"/>
      <c r="BO35" s="2253"/>
      <c r="BP35" s="2253"/>
      <c r="BQ35" s="2649"/>
      <c r="BR35" s="328"/>
      <c r="BS35" s="282"/>
      <c r="BT35" s="370"/>
      <c r="BU35" s="370"/>
      <c r="BV35" s="370"/>
      <c r="BW35" s="370"/>
      <c r="BX35" s="370"/>
      <c r="BY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433</v>
      </c>
      <c r="AD36" s="328"/>
      <c r="AE36" s="328"/>
      <c r="AF36" s="328"/>
      <c r="AG36" s="328"/>
      <c r="AH36" s="328"/>
      <c r="AI36" s="328"/>
      <c r="AJ36" s="328"/>
      <c r="AK36" s="280" t="s">
        <v>433</v>
      </c>
      <c r="AL36" s="1637"/>
      <c r="AM36" s="1637"/>
      <c r="AN36" s="1637"/>
      <c r="AO36" s="1637"/>
      <c r="AP36" s="1637"/>
      <c r="AQ36" s="1637"/>
      <c r="AR36" s="1637"/>
      <c r="AS36" s="1644" t="s">
        <v>433</v>
      </c>
      <c r="AT36" s="1637"/>
      <c r="AU36" s="1637"/>
      <c r="AV36" s="1637"/>
      <c r="AW36" s="1637"/>
      <c r="AX36" s="1637"/>
      <c r="AY36" s="1637"/>
      <c r="AZ36" s="1637"/>
      <c r="BA36" s="1644" t="s">
        <v>433</v>
      </c>
      <c r="BB36" s="1637"/>
      <c r="BC36" s="1637"/>
      <c r="BD36" s="1637"/>
      <c r="BE36" s="1637"/>
      <c r="BF36" s="1637"/>
      <c r="BG36" s="1637"/>
      <c r="BH36" s="1637"/>
      <c r="BI36" s="1644" t="s">
        <v>433</v>
      </c>
      <c r="BJ36" s="1637"/>
      <c r="BK36" s="1637"/>
      <c r="BL36" s="1637"/>
      <c r="BM36" s="1637"/>
      <c r="BN36" s="1637"/>
      <c r="BO36" s="1637"/>
      <c r="BP36" s="1637"/>
      <c r="BQ36" s="2662" t="s">
        <v>433</v>
      </c>
      <c r="BT36" s="370"/>
      <c r="BU36" s="370"/>
      <c r="BV36" s="370"/>
      <c r="BW36" s="370"/>
      <c r="BX36" s="370"/>
      <c r="BY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L37" s="2254" t="s">
        <v>454</v>
      </c>
      <c r="AM37" s="2254"/>
      <c r="AN37" s="2254"/>
      <c r="AO37" s="2254"/>
      <c r="AP37" s="2254"/>
      <c r="AQ37" s="2254"/>
      <c r="AR37" s="2254"/>
      <c r="AS37" s="2254"/>
      <c r="AT37" s="2254" t="s">
        <v>454</v>
      </c>
      <c r="AU37" s="2254"/>
      <c r="AV37" s="2254"/>
      <c r="AW37" s="2254"/>
      <c r="AX37" s="2254"/>
      <c r="AY37" s="2254"/>
      <c r="AZ37" s="2254"/>
      <c r="BA37" s="2254"/>
      <c r="BB37" s="2254" t="s">
        <v>454</v>
      </c>
      <c r="BC37" s="2254"/>
      <c r="BD37" s="2254"/>
      <c r="BE37" s="2254"/>
      <c r="BF37" s="2254"/>
      <c r="BG37" s="2254"/>
      <c r="BH37" s="2254"/>
      <c r="BI37" s="2254"/>
      <c r="BJ37" s="2254" t="s">
        <v>454</v>
      </c>
      <c r="BK37" s="2254"/>
      <c r="BL37" s="2254"/>
      <c r="BM37" s="2254"/>
      <c r="BN37" s="2254"/>
      <c r="BO37" s="2254"/>
      <c r="BP37" s="2254"/>
      <c r="BQ37" s="2663"/>
      <c r="BY37" s="1157">
        <v>14</v>
      </c>
    </row>
    <row customHeight="1" ht="15">
      <c r="Q38" s="378"/>
      <c r="R38" s="378"/>
      <c r="S38" s="2129" t="s">
        <v>309</v>
      </c>
      <c r="T38" s="2129"/>
      <c r="U38" s="2129"/>
      <c r="V38" s="2129"/>
      <c r="W38" s="2129"/>
      <c r="X38" s="2129"/>
      <c r="Y38" s="2129"/>
      <c r="Z38" s="2129"/>
      <c r="AA38" s="2129"/>
      <c r="AB38" s="2129"/>
      <c r="AC38" s="2129"/>
      <c r="AD38" s="2129"/>
      <c r="AE38" s="2129"/>
      <c r="AF38" s="2129"/>
      <c r="AG38" s="2129"/>
      <c r="AH38" s="2129"/>
      <c r="AI38" s="2129"/>
      <c r="AJ38" s="2129"/>
      <c r="AK38" s="2129"/>
      <c r="AL38" s="2314" t="s">
        <v>309</v>
      </c>
      <c r="AM38" s="2314"/>
      <c r="AN38" s="2314"/>
      <c r="AO38" s="2314"/>
      <c r="AP38" s="2314"/>
      <c r="AQ38" s="2314"/>
      <c r="AR38" s="2314"/>
      <c r="AS38" s="2314"/>
      <c r="AT38" s="2314" t="s">
        <v>309</v>
      </c>
      <c r="AU38" s="2314"/>
      <c r="AV38" s="2314"/>
      <c r="AW38" s="2314"/>
      <c r="AX38" s="2314"/>
      <c r="AY38" s="2314"/>
      <c r="AZ38" s="2314"/>
      <c r="BA38" s="2314"/>
      <c r="BB38" s="2314" t="s">
        <v>309</v>
      </c>
      <c r="BC38" s="2314"/>
      <c r="BD38" s="2314"/>
      <c r="BE38" s="2314"/>
      <c r="BF38" s="2314"/>
      <c r="BG38" s="2314"/>
      <c r="BH38" s="2314"/>
      <c r="BI38" s="2314"/>
      <c r="BJ38" s="2314" t="s">
        <v>309</v>
      </c>
      <c r="BK38" s="2314"/>
      <c r="BL38" s="2314"/>
      <c r="BM38" s="2314"/>
      <c r="BN38" s="2314"/>
      <c r="BO38" s="2314"/>
      <c r="BP38" s="2314"/>
      <c r="BQ38" s="2664"/>
      <c r="BR38" s="2129"/>
      <c r="BS38" s="2129"/>
      <c r="BY38" s="1157"/>
    </row>
    <row customHeight="1" ht="15">
      <c r="Q39" s="378"/>
      <c r="R39" s="378"/>
      <c r="S39" s="2275" t="s">
        <v>90</v>
      </c>
      <c r="T39" s="2211" t="s">
        <v>434</v>
      </c>
      <c r="U39" s="303"/>
      <c r="V39" s="2276" t="s">
        <v>435</v>
      </c>
      <c r="W39" s="2277"/>
      <c r="X39" s="2277"/>
      <c r="Y39" s="2277"/>
      <c r="Z39" s="2277"/>
      <c r="AA39" s="2277"/>
      <c r="AB39" s="2278"/>
      <c r="AC39" s="2279" t="s">
        <v>436</v>
      </c>
      <c r="AD39" s="2276" t="s">
        <v>435</v>
      </c>
      <c r="AE39" s="2277"/>
      <c r="AF39" s="2277"/>
      <c r="AG39" s="2277"/>
      <c r="AH39" s="2277"/>
      <c r="AI39" s="2277"/>
      <c r="AJ39" s="2278"/>
      <c r="AK39" s="2279" t="s">
        <v>437</v>
      </c>
      <c r="AL39" s="2401" t="s">
        <v>435</v>
      </c>
      <c r="AM39" s="2402"/>
      <c r="AN39" s="2402"/>
      <c r="AO39" s="2402"/>
      <c r="AP39" s="2402"/>
      <c r="AQ39" s="2402"/>
      <c r="AR39" s="2403"/>
      <c r="AS39" s="2279" t="s">
        <v>436</v>
      </c>
      <c r="AT39" s="2401" t="s">
        <v>435</v>
      </c>
      <c r="AU39" s="2402"/>
      <c r="AV39" s="2402"/>
      <c r="AW39" s="2402"/>
      <c r="AX39" s="2402"/>
      <c r="AY39" s="2402"/>
      <c r="AZ39" s="2403"/>
      <c r="BA39" s="2279" t="s">
        <v>436</v>
      </c>
      <c r="BB39" s="2401" t="s">
        <v>435</v>
      </c>
      <c r="BC39" s="2402"/>
      <c r="BD39" s="2402"/>
      <c r="BE39" s="2402"/>
      <c r="BF39" s="2402"/>
      <c r="BG39" s="2402"/>
      <c r="BH39" s="2403"/>
      <c r="BI39" s="2279" t="s">
        <v>436</v>
      </c>
      <c r="BJ39" s="2401" t="s">
        <v>435</v>
      </c>
      <c r="BK39" s="2402"/>
      <c r="BL39" s="2402"/>
      <c r="BM39" s="2402"/>
      <c r="BN39" s="2402"/>
      <c r="BO39" s="2402"/>
      <c r="BP39" s="2403"/>
      <c r="BQ39" s="2665" t="s">
        <v>436</v>
      </c>
      <c r="BR39" s="2282" t="s">
        <v>438</v>
      </c>
      <c r="BS39" s="2129"/>
      <c r="BY39" s="1157">
        <v>14</v>
      </c>
    </row>
    <row customHeight="1" ht="36">
      <c r="Q40" s="378"/>
      <c r="R40" s="378"/>
      <c r="S40" s="2275"/>
      <c r="T40" s="2211"/>
      <c r="U40" s="1033"/>
      <c r="V40" s="2262" t="s">
        <v>439</v>
      </c>
      <c r="W40" s="2285" t="s">
        <v>440</v>
      </c>
      <c r="X40" s="2264" t="s">
        <v>441</v>
      </c>
      <c r="Y40" s="2265"/>
      <c r="Z40" s="2264" t="s">
        <v>455</v>
      </c>
      <c r="AA40" s="2271"/>
      <c r="AB40" s="2265"/>
      <c r="AC40" s="2280"/>
      <c r="AD40" s="2262" t="s">
        <v>439</v>
      </c>
      <c r="AE40" s="2285" t="s">
        <v>440</v>
      </c>
      <c r="AF40" s="2264" t="s">
        <v>441</v>
      </c>
      <c r="AG40" s="2265"/>
      <c r="AH40" s="2264" t="s">
        <v>442</v>
      </c>
      <c r="AI40" s="2271"/>
      <c r="AJ40" s="2265"/>
      <c r="AK40" s="2280"/>
      <c r="AL40" s="2262" t="s">
        <v>439</v>
      </c>
      <c r="AM40" s="2612" t="s">
        <v>440</v>
      </c>
      <c r="AN40" s="2264" t="s">
        <v>441</v>
      </c>
      <c r="AO40" s="2265"/>
      <c r="AP40" s="2264" t="s">
        <v>455</v>
      </c>
      <c r="AQ40" s="2271"/>
      <c r="AR40" s="2265"/>
      <c r="AS40" s="2280"/>
      <c r="AT40" s="2262" t="s">
        <v>439</v>
      </c>
      <c r="AU40" s="2612" t="s">
        <v>440</v>
      </c>
      <c r="AV40" s="2264" t="s">
        <v>441</v>
      </c>
      <c r="AW40" s="2265"/>
      <c r="AX40" s="2264" t="s">
        <v>455</v>
      </c>
      <c r="AY40" s="2271"/>
      <c r="AZ40" s="2265"/>
      <c r="BA40" s="2280"/>
      <c r="BB40" s="2262" t="s">
        <v>439</v>
      </c>
      <c r="BC40" s="2612" t="s">
        <v>440</v>
      </c>
      <c r="BD40" s="2264" t="s">
        <v>441</v>
      </c>
      <c r="BE40" s="2265"/>
      <c r="BF40" s="2264" t="s">
        <v>455</v>
      </c>
      <c r="BG40" s="2271"/>
      <c r="BH40" s="2265"/>
      <c r="BI40" s="2280"/>
      <c r="BJ40" s="2262" t="s">
        <v>439</v>
      </c>
      <c r="BK40" s="2612" t="s">
        <v>440</v>
      </c>
      <c r="BL40" s="2264" t="s">
        <v>441</v>
      </c>
      <c r="BM40" s="2265"/>
      <c r="BN40" s="2264" t="s">
        <v>455</v>
      </c>
      <c r="BO40" s="2271"/>
      <c r="BP40" s="2265"/>
      <c r="BQ40" s="2666"/>
      <c r="BR40" s="2283"/>
      <c r="BS40" s="2129"/>
      <c r="BY40" s="1157">
        <v>34</v>
      </c>
    </row>
    <row customHeight="1" ht="36">
      <c r="A41" s="1372"/>
      <c r="B41" s="1372" t="s">
        <v>137</v>
      </c>
      <c r="C41" s="1372" t="s">
        <v>138</v>
      </c>
      <c r="D41" s="1372" t="s">
        <v>139</v>
      </c>
      <c r="E41" s="1366" t="s">
        <v>443</v>
      </c>
      <c r="F41" s="1366" t="s">
        <v>444</v>
      </c>
      <c r="G41" s="1366" t="s">
        <v>445</v>
      </c>
      <c r="H41" s="1366" t="s">
        <v>446</v>
      </c>
      <c r="I41" s="1366" t="s">
        <v>447</v>
      </c>
      <c r="J41" s="1366" t="s">
        <v>448</v>
      </c>
      <c r="K41" s="1366" t="s">
        <v>449</v>
      </c>
      <c r="L41" s="1366" t="s">
        <v>424</v>
      </c>
      <c r="Q41" s="378"/>
      <c r="R41" s="378"/>
      <c r="S41" s="2275"/>
      <c r="T41" s="2211"/>
      <c r="U41" s="304"/>
      <c r="V41" s="2263"/>
      <c r="W41" s="2286"/>
      <c r="X41" s="1224" t="s">
        <v>450</v>
      </c>
      <c r="Y41" s="1224" t="s">
        <v>451</v>
      </c>
      <c r="Z41" s="1340" t="s">
        <v>452</v>
      </c>
      <c r="AA41" s="2272" t="s">
        <v>453</v>
      </c>
      <c r="AB41" s="2273"/>
      <c r="AC41" s="2281"/>
      <c r="AD41" s="2263"/>
      <c r="AE41" s="2286"/>
      <c r="AF41" s="1224" t="s">
        <v>450</v>
      </c>
      <c r="AG41" s="1224" t="s">
        <v>451</v>
      </c>
      <c r="AH41" s="1340" t="s">
        <v>452</v>
      </c>
      <c r="AI41" s="2272" t="s">
        <v>453</v>
      </c>
      <c r="AJ41" s="2273"/>
      <c r="AK41" s="2281"/>
      <c r="AL41" s="2263"/>
      <c r="AM41" s="2286"/>
      <c r="AN41" s="2579" t="s">
        <v>450</v>
      </c>
      <c r="AO41" s="2579" t="s">
        <v>451</v>
      </c>
      <c r="AP41" s="2579" t="s">
        <v>452</v>
      </c>
      <c r="AQ41" s="2272" t="s">
        <v>453</v>
      </c>
      <c r="AR41" s="2273"/>
      <c r="AS41" s="2281"/>
      <c r="AT41" s="2263"/>
      <c r="AU41" s="2286"/>
      <c r="AV41" s="2579" t="s">
        <v>450</v>
      </c>
      <c r="AW41" s="2579" t="s">
        <v>451</v>
      </c>
      <c r="AX41" s="2579" t="s">
        <v>452</v>
      </c>
      <c r="AY41" s="2272" t="s">
        <v>453</v>
      </c>
      <c r="AZ41" s="2273"/>
      <c r="BA41" s="2281"/>
      <c r="BB41" s="2263"/>
      <c r="BC41" s="2286"/>
      <c r="BD41" s="2579" t="s">
        <v>450</v>
      </c>
      <c r="BE41" s="2579" t="s">
        <v>451</v>
      </c>
      <c r="BF41" s="2579" t="s">
        <v>452</v>
      </c>
      <c r="BG41" s="2272" t="s">
        <v>453</v>
      </c>
      <c r="BH41" s="2273"/>
      <c r="BI41" s="2281"/>
      <c r="BJ41" s="2263"/>
      <c r="BK41" s="2286"/>
      <c r="BL41" s="2579" t="s">
        <v>450</v>
      </c>
      <c r="BM41" s="2579" t="s">
        <v>451</v>
      </c>
      <c r="BN41" s="2579" t="s">
        <v>452</v>
      </c>
      <c r="BO41" s="2272" t="s">
        <v>453</v>
      </c>
      <c r="BP41" s="2273"/>
      <c r="BQ41" s="2667"/>
      <c r="BR41" s="2284"/>
      <c r="BS41" s="2129"/>
      <c r="BY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111</v>
      </c>
      <c r="T42" s="1257" t="s">
        <v>112</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2274">
        <f>OFFSET(AL42,0,-1)+1</f>
        <v>6</v>
      </c>
      <c r="AM42" s="2274"/>
      <c r="AN42" s="2274">
        <f>OFFSET(AN42,0,-1)+1</f>
        <v>1</v>
      </c>
      <c r="AO42" s="2274">
        <f>OFFSET(AO42,0,-1)+1</f>
        <v>2</v>
      </c>
      <c r="AP42" s="2274">
        <f>OFFSET(AP42,0,-1)+1</f>
        <v>3</v>
      </c>
      <c r="AQ42" s="2274">
        <f>OFFSET(AQ42,0,-1)+1</f>
        <v>4</v>
      </c>
      <c r="AR42" s="2274"/>
      <c r="AS42" s="2274">
        <f>OFFSET(AS42,0,-2)+1</f>
        <v>5</v>
      </c>
      <c r="AT42" s="2274">
        <f>OFFSET(AT42,0,-1)+1</f>
        <v>6</v>
      </c>
      <c r="AU42" s="2274"/>
      <c r="AV42" s="2274">
        <f>OFFSET(AV42,0,-1)+1</f>
        <v>1</v>
      </c>
      <c r="AW42" s="2274">
        <f>OFFSET(AW42,0,-1)+1</f>
        <v>2</v>
      </c>
      <c r="AX42" s="2274">
        <f>OFFSET(AX42,0,-1)+1</f>
        <v>3</v>
      </c>
      <c r="AY42" s="2274">
        <f>OFFSET(AY42,0,-1)+1</f>
        <v>4</v>
      </c>
      <c r="AZ42" s="2274"/>
      <c r="BA42" s="2274">
        <f>OFFSET(BA42,0,-2)+1</f>
        <v>5</v>
      </c>
      <c r="BB42" s="2274">
        <f>OFFSET(BB42,0,-1)+1</f>
        <v>6</v>
      </c>
      <c r="BC42" s="2274"/>
      <c r="BD42" s="2274">
        <f>OFFSET(BD42,0,-1)+1</f>
        <v>1</v>
      </c>
      <c r="BE42" s="2274">
        <f>OFFSET(BE42,0,-1)+1</f>
        <v>2</v>
      </c>
      <c r="BF42" s="2274">
        <f>OFFSET(BF42,0,-1)+1</f>
        <v>3</v>
      </c>
      <c r="BG42" s="2274">
        <f>OFFSET(BG42,0,-1)+1</f>
        <v>4</v>
      </c>
      <c r="BH42" s="2274"/>
      <c r="BI42" s="2274">
        <f>OFFSET(BI42,0,-2)+1</f>
        <v>5</v>
      </c>
      <c r="BJ42" s="2274">
        <f>OFFSET(BJ42,0,-1)+1</f>
        <v>6</v>
      </c>
      <c r="BK42" s="2274"/>
      <c r="BL42" s="2274">
        <f>OFFSET(BL42,0,-1)+1</f>
        <v>1</v>
      </c>
      <c r="BM42" s="2274">
        <f>OFFSET(BM42,0,-1)+1</f>
        <v>2</v>
      </c>
      <c r="BN42" s="2274">
        <f>OFFSET(BN42,0,-1)+1</f>
        <v>3</v>
      </c>
      <c r="BO42" s="2274">
        <f>OFFSET(BO42,0,-1)+1</f>
        <v>4</v>
      </c>
      <c r="BP42" s="2274"/>
      <c r="BQ42" s="2668">
        <f>OFFSET(BQ42,0,-2)+1</f>
        <v>5</v>
      </c>
      <c r="BR42" s="1247">
        <f>OFFSET(BR42,0,-1)</f>
        <v>5</v>
      </c>
      <c r="BS42" s="1337">
        <f>OFFSET(BS42,0,-1)+1</f>
        <v>6</v>
      </c>
      <c r="BT42" s="513"/>
      <c r="BU42" s="513"/>
      <c r="BV42" s="513"/>
      <c r="BW42" s="513"/>
      <c r="BX42" s="513"/>
      <c r="BY42" s="498">
        <v>0</v>
      </c>
    </row>
    <row customHeight="1" ht="21.75">
      <c r="A43" s="1365" t="s">
        <v>168</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1</v>
      </c>
      <c r="T43" s="300" t="s">
        <v>125</v>
      </c>
      <c r="U43" s="302"/>
      <c r="V43" s="2244"/>
      <c r="W43" s="2245"/>
      <c r="X43" s="2245"/>
      <c r="Y43" s="2245"/>
      <c r="Z43" s="2245"/>
      <c r="AA43" s="2245"/>
      <c r="AB43" s="2245"/>
      <c r="AC43" s="2246"/>
      <c r="AD43" s="2244" t="str">
        <f>INDEX(PT_DIFFERENTIATION_NTAR,MATCH(A43,PT_DIFFERENTIATION_NTAR_ID,0))</f>
        <v>Тариф на тепловую энергию</v>
      </c>
      <c r="AE43" s="2245"/>
      <c r="AF43" s="2245"/>
      <c r="AG43" s="2245"/>
      <c r="AH43" s="2245"/>
      <c r="AI43" s="2245"/>
      <c r="AJ43" s="2245"/>
      <c r="AK43" s="2245"/>
      <c r="AL43" s="2244"/>
      <c r="AM43" s="2245"/>
      <c r="AN43" s="2245"/>
      <c r="AO43" s="2245"/>
      <c r="AP43" s="2245"/>
      <c r="AQ43" s="2245"/>
      <c r="AR43" s="2245"/>
      <c r="AS43" s="2246"/>
      <c r="AT43" s="2244"/>
      <c r="AU43" s="2245"/>
      <c r="AV43" s="2245"/>
      <c r="AW43" s="2245"/>
      <c r="AX43" s="2245"/>
      <c r="AY43" s="2245"/>
      <c r="AZ43" s="2245"/>
      <c r="BA43" s="2246"/>
      <c r="BB43" s="2244"/>
      <c r="BC43" s="2245"/>
      <c r="BD43" s="2245"/>
      <c r="BE43" s="2245"/>
      <c r="BF43" s="2245"/>
      <c r="BG43" s="2245"/>
      <c r="BH43" s="2245"/>
      <c r="BI43" s="2246"/>
      <c r="BJ43" s="2244"/>
      <c r="BK43" s="2245"/>
      <c r="BL43" s="2245"/>
      <c r="BM43" s="2245"/>
      <c r="BN43" s="2245"/>
      <c r="BO43" s="2245"/>
      <c r="BP43" s="2245"/>
      <c r="BQ43" s="2650"/>
      <c r="BR43" s="2246"/>
      <c r="BS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BU43" s="502"/>
      <c r="BV43" s="502" t="str">
        <f>IF(T43="","",T43)</f>
        <v>Наименование тарифа</v>
      </c>
      <c r="BW43" s="502"/>
      <c r="BX43" s="502"/>
      <c r="BY43" s="1157">
        <v>21</v>
      </c>
    </row>
    <row customHeight="1" ht="21.75">
      <c r="A44" s="1365" t="s">
        <v>168</v>
      </c>
      <c r="B44" s="1365" t="s">
        <v>169</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1.1</v>
      </c>
      <c r="T44" s="310" t="s">
        <v>406</v>
      </c>
      <c r="U44" s="302"/>
      <c r="V44" s="2244"/>
      <c r="W44" s="2245"/>
      <c r="X44" s="2245"/>
      <c r="Y44" s="2245"/>
      <c r="Z44" s="2245"/>
      <c r="AA44" s="2245"/>
      <c r="AB44" s="2245"/>
      <c r="AC44" s="2246"/>
      <c r="AD44" s="2244" t="str">
        <f>INDEX(PT_DIFFERENTIATION_TER,MATCH(B44,PT_DIFFERENTIATION_TER_ID,0))</f>
        <v>городской округ город Волгореченск</v>
      </c>
      <c r="AE44" s="2245"/>
      <c r="AF44" s="2245"/>
      <c r="AG44" s="2245"/>
      <c r="AH44" s="2245"/>
      <c r="AI44" s="2245"/>
      <c r="AJ44" s="2245"/>
      <c r="AK44" s="2245"/>
      <c r="AL44" s="2244"/>
      <c r="AM44" s="2245"/>
      <c r="AN44" s="2245"/>
      <c r="AO44" s="2245"/>
      <c r="AP44" s="2245"/>
      <c r="AQ44" s="2245"/>
      <c r="AR44" s="2245"/>
      <c r="AS44" s="2246"/>
      <c r="AT44" s="2244"/>
      <c r="AU44" s="2245"/>
      <c r="AV44" s="2245"/>
      <c r="AW44" s="2245"/>
      <c r="AX44" s="2245"/>
      <c r="AY44" s="2245"/>
      <c r="AZ44" s="2245"/>
      <c r="BA44" s="2246"/>
      <c r="BB44" s="2244"/>
      <c r="BC44" s="2245"/>
      <c r="BD44" s="2245"/>
      <c r="BE44" s="2245"/>
      <c r="BF44" s="2245"/>
      <c r="BG44" s="2245"/>
      <c r="BH44" s="2245"/>
      <c r="BI44" s="2246"/>
      <c r="BJ44" s="2244"/>
      <c r="BK44" s="2245"/>
      <c r="BL44" s="2245"/>
      <c r="BM44" s="2245"/>
      <c r="BN44" s="2245"/>
      <c r="BO44" s="2245"/>
      <c r="BP44" s="2245"/>
      <c r="BQ44" s="2650"/>
      <c r="BR44" s="2246"/>
      <c r="BS44" s="1260" t="s">
        <v>407</v>
      </c>
      <c r="BU44" s="502"/>
      <c r="BV44" s="502" t="str">
        <f>IF(T44="","",T44)</f>
        <v>Территория действия тарифа</v>
      </c>
      <c r="BW44" s="502"/>
      <c r="BX44" s="502"/>
      <c r="BY44" s="1157">
        <v>21</v>
      </c>
    </row>
    <row customHeight="1" ht="24">
      <c r="A45" s="1365" t="s">
        <v>168</v>
      </c>
      <c r="B45" s="1365" t="s">
        <v>169</v>
      </c>
      <c r="C45" s="1365" t="s">
        <v>170</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1.1.1</v>
      </c>
      <c r="T45" s="311" t="s">
        <v>408</v>
      </c>
      <c r="U45" s="302"/>
      <c r="V45" s="2244"/>
      <c r="W45" s="2245"/>
      <c r="X45" s="2245"/>
      <c r="Y45" s="2245"/>
      <c r="Z45" s="2245"/>
      <c r="AA45" s="2245"/>
      <c r="AB45" s="2245"/>
      <c r="AC45" s="2246"/>
      <c r="AD45" s="2244" t="str">
        <f>INDEX(PT_DIFFERENTIATION_CS,MATCH(C45,PT_DIFFERENTIATION_CS_ID,0))</f>
        <v>ЦС ТС г.Волгореченск</v>
      </c>
      <c r="AE45" s="2245"/>
      <c r="AF45" s="2245"/>
      <c r="AG45" s="2245"/>
      <c r="AH45" s="2245"/>
      <c r="AI45" s="2245"/>
      <c r="AJ45" s="2245"/>
      <c r="AK45" s="2245"/>
      <c r="AL45" s="2244"/>
      <c r="AM45" s="2245"/>
      <c r="AN45" s="2245"/>
      <c r="AO45" s="2245"/>
      <c r="AP45" s="2245"/>
      <c r="AQ45" s="2245"/>
      <c r="AR45" s="2245"/>
      <c r="AS45" s="2246"/>
      <c r="AT45" s="2244"/>
      <c r="AU45" s="2245"/>
      <c r="AV45" s="2245"/>
      <c r="AW45" s="2245"/>
      <c r="AX45" s="2245"/>
      <c r="AY45" s="2245"/>
      <c r="AZ45" s="2245"/>
      <c r="BA45" s="2246"/>
      <c r="BB45" s="2244"/>
      <c r="BC45" s="2245"/>
      <c r="BD45" s="2245"/>
      <c r="BE45" s="2245"/>
      <c r="BF45" s="2245"/>
      <c r="BG45" s="2245"/>
      <c r="BH45" s="2245"/>
      <c r="BI45" s="2246"/>
      <c r="BJ45" s="2244"/>
      <c r="BK45" s="2245"/>
      <c r="BL45" s="2245"/>
      <c r="BM45" s="2245"/>
      <c r="BN45" s="2245"/>
      <c r="BO45" s="2245"/>
      <c r="BP45" s="2245"/>
      <c r="BQ45" s="2650"/>
      <c r="BR45" s="2246"/>
      <c r="BS45" s="1260" t="s">
        <v>409</v>
      </c>
      <c r="BU45" s="502"/>
      <c r="BV45" s="502" t="str">
        <f>IF(T45="","",T45)</f>
        <v>Наименование системы теплоснабжения </v>
      </c>
      <c r="BW45" s="502"/>
      <c r="BX45" s="502"/>
      <c r="BY45" s="1157">
        <v>23</v>
      </c>
    </row>
    <row customHeight="1" ht="21.75">
      <c r="A46" s="1365" t="s">
        <v>168</v>
      </c>
      <c r="B46" s="1365" t="s">
        <v>169</v>
      </c>
      <c r="C46" s="1365" t="s">
        <v>170</v>
      </c>
      <c r="D46" s="1365" t="s">
        <v>171</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1.1.1.1</v>
      </c>
      <c r="T46" s="312" t="s">
        <v>410</v>
      </c>
      <c r="U46" s="302"/>
      <c r="V46" s="2244"/>
      <c r="W46" s="2245"/>
      <c r="X46" s="2245"/>
      <c r="Y46" s="2245"/>
      <c r="Z46" s="2245"/>
      <c r="AA46" s="2245"/>
      <c r="AB46" s="2245"/>
      <c r="AC46" s="2246"/>
      <c r="AD46" s="2244" t="str">
        <f>INDEX(PT_DIFFERENTIATION_IST_TE,MATCH(D46,PT_DIFFERENTIATION_IST_TE_ID,0))</f>
        <v>источник тепловой энергии - КГРЭС</v>
      </c>
      <c r="AE46" s="2245"/>
      <c r="AF46" s="2245"/>
      <c r="AG46" s="2245"/>
      <c r="AH46" s="2245"/>
      <c r="AI46" s="2245"/>
      <c r="AJ46" s="2245"/>
      <c r="AK46" s="2245"/>
      <c r="AL46" s="2244"/>
      <c r="AM46" s="2245"/>
      <c r="AN46" s="2245"/>
      <c r="AO46" s="2245"/>
      <c r="AP46" s="2245"/>
      <c r="AQ46" s="2245"/>
      <c r="AR46" s="2245"/>
      <c r="AS46" s="2246"/>
      <c r="AT46" s="2244"/>
      <c r="AU46" s="2245"/>
      <c r="AV46" s="2245"/>
      <c r="AW46" s="2245"/>
      <c r="AX46" s="2245"/>
      <c r="AY46" s="2245"/>
      <c r="AZ46" s="2245"/>
      <c r="BA46" s="2246"/>
      <c r="BB46" s="2244"/>
      <c r="BC46" s="2245"/>
      <c r="BD46" s="2245"/>
      <c r="BE46" s="2245"/>
      <c r="BF46" s="2245"/>
      <c r="BG46" s="2245"/>
      <c r="BH46" s="2245"/>
      <c r="BI46" s="2246"/>
      <c r="BJ46" s="2244"/>
      <c r="BK46" s="2245"/>
      <c r="BL46" s="2245"/>
      <c r="BM46" s="2245"/>
      <c r="BN46" s="2245"/>
      <c r="BO46" s="2245"/>
      <c r="BP46" s="2245"/>
      <c r="BQ46" s="2650"/>
      <c r="BR46" s="2246"/>
      <c r="BS46" s="1260" t="s">
        <v>411</v>
      </c>
      <c r="BU46" s="502"/>
      <c r="BV46" s="502" t="str">
        <f>IF(T46="","",T46)</f>
        <v>Источник тепловой энергии  </v>
      </c>
      <c r="BW46" s="502"/>
      <c r="BX46" s="502"/>
      <c r="BY46" s="1157">
        <v>21</v>
      </c>
    </row>
    <row customHeight="1" ht="49.5">
      <c r="A47" s="1365" t="s">
        <v>168</v>
      </c>
      <c r="B47" s="1365" t="s">
        <v>169</v>
      </c>
      <c r="C47" s="1365" t="s">
        <v>170</v>
      </c>
      <c r="D47" s="1365" t="s">
        <v>171</v>
      </c>
      <c r="E47" s="2261"/>
      <c r="F47" s="2261"/>
      <c r="G47" s="2261"/>
      <c r="H47" s="2261"/>
      <c r="I47" s="2258" t="str">
        <f>S46&amp;".1"</f>
        <v>1.1.1.1.1</v>
      </c>
      <c r="J47" s="1365"/>
      <c r="K47" s="1365"/>
      <c r="L47" s="1366" t="s">
        <v>412</v>
      </c>
      <c r="P47" s="2259">
        <v>1</v>
      </c>
      <c r="Q47" s="1333"/>
      <c r="R47" s="358"/>
      <c r="S47" s="1338" t="str">
        <f>$I47</f>
        <v>1.1.1.1.1</v>
      </c>
      <c r="T47" s="287" t="s">
        <v>413</v>
      </c>
      <c r="U47" s="302"/>
      <c r="V47" s="2247"/>
      <c r="W47" s="2248"/>
      <c r="X47" s="2248"/>
      <c r="Y47" s="2248"/>
      <c r="Z47" s="2248"/>
      <c r="AA47" s="2248"/>
      <c r="AB47" s="2248"/>
      <c r="AC47" s="2249"/>
      <c r="AD47" s="2247" t="s">
        <v>456</v>
      </c>
      <c r="AE47" s="2248"/>
      <c r="AF47" s="2248"/>
      <c r="AG47" s="2248"/>
      <c r="AH47" s="2248"/>
      <c r="AI47" s="2248"/>
      <c r="AJ47" s="2248"/>
      <c r="AK47" s="2248"/>
      <c r="AL47" s="2247"/>
      <c r="AM47" s="2248"/>
      <c r="AN47" s="2248"/>
      <c r="AO47" s="2248"/>
      <c r="AP47" s="2248"/>
      <c r="AQ47" s="2248"/>
      <c r="AR47" s="2248"/>
      <c r="AS47" s="2249"/>
      <c r="AT47" s="2247"/>
      <c r="AU47" s="2248"/>
      <c r="AV47" s="2248"/>
      <c r="AW47" s="2248"/>
      <c r="AX47" s="2248"/>
      <c r="AY47" s="2248"/>
      <c r="AZ47" s="2248"/>
      <c r="BA47" s="2249"/>
      <c r="BB47" s="2247"/>
      <c r="BC47" s="2248"/>
      <c r="BD47" s="2248"/>
      <c r="BE47" s="2248"/>
      <c r="BF47" s="2248"/>
      <c r="BG47" s="2248"/>
      <c r="BH47" s="2248"/>
      <c r="BI47" s="2249"/>
      <c r="BJ47" s="2247"/>
      <c r="BK47" s="2248"/>
      <c r="BL47" s="2248"/>
      <c r="BM47" s="2248"/>
      <c r="BN47" s="2248"/>
      <c r="BO47" s="2248"/>
      <c r="BP47" s="2248"/>
      <c r="BQ47" s="2651"/>
      <c r="BR47" s="2249"/>
      <c r="BS47" s="1260" t="s">
        <v>414</v>
      </c>
      <c r="BU47" s="502"/>
      <c r="BV47" s="502" t="str">
        <f>IF(T47="","",T47)</f>
        <v>Схема подключения теплопотребляющей установки к коллектору источника тепловой энергии</v>
      </c>
      <c r="BW47" s="502"/>
      <c r="BX47" s="502"/>
      <c r="BY47" s="1157">
        <v>47</v>
      </c>
    </row>
    <row customHeight="1" ht="21.75">
      <c r="A48" s="1365" t="s">
        <v>168</v>
      </c>
      <c r="B48" s="1365" t="s">
        <v>169</v>
      </c>
      <c r="C48" s="1365" t="s">
        <v>170</v>
      </c>
      <c r="D48" s="1365" t="s">
        <v>171</v>
      </c>
      <c r="E48" s="2261"/>
      <c r="F48" s="2261"/>
      <c r="G48" s="2261"/>
      <c r="H48" s="2261"/>
      <c r="I48" s="2288"/>
      <c r="J48" s="2258" t="str">
        <f>I47&amp;".1"</f>
        <v>1.1.1.1.1.1</v>
      </c>
      <c r="K48" s="1365"/>
      <c r="L48" s="1366" t="s">
        <v>415</v>
      </c>
      <c r="P48" s="2259"/>
      <c r="Q48" s="2259">
        <v>1</v>
      </c>
      <c r="R48" s="359"/>
      <c r="S48" s="1338" t="str">
        <f>$J48</f>
        <v>1.1.1.1.1.1</v>
      </c>
      <c r="T48" s="288" t="s">
        <v>416</v>
      </c>
      <c r="U48" s="302"/>
      <c r="V48" s="2247"/>
      <c r="W48" s="2248"/>
      <c r="X48" s="2248"/>
      <c r="Y48" s="2248"/>
      <c r="Z48" s="2248"/>
      <c r="AA48" s="2248"/>
      <c r="AB48" s="2248"/>
      <c r="AC48" s="2249"/>
      <c r="AD48" s="2247" t="s">
        <v>456</v>
      </c>
      <c r="AE48" s="2248"/>
      <c r="AF48" s="2248"/>
      <c r="AG48" s="2248"/>
      <c r="AH48" s="2248"/>
      <c r="AI48" s="2248"/>
      <c r="AJ48" s="2248"/>
      <c r="AK48" s="2248"/>
      <c r="AL48" s="2247"/>
      <c r="AM48" s="2248"/>
      <c r="AN48" s="2248"/>
      <c r="AO48" s="2248"/>
      <c r="AP48" s="2248"/>
      <c r="AQ48" s="2248"/>
      <c r="AR48" s="2248"/>
      <c r="AS48" s="2249"/>
      <c r="AT48" s="2247"/>
      <c r="AU48" s="2248"/>
      <c r="AV48" s="2248"/>
      <c r="AW48" s="2248"/>
      <c r="AX48" s="2248"/>
      <c r="AY48" s="2248"/>
      <c r="AZ48" s="2248"/>
      <c r="BA48" s="2249"/>
      <c r="BB48" s="2247"/>
      <c r="BC48" s="2248"/>
      <c r="BD48" s="2248"/>
      <c r="BE48" s="2248"/>
      <c r="BF48" s="2248"/>
      <c r="BG48" s="2248"/>
      <c r="BH48" s="2248"/>
      <c r="BI48" s="2249"/>
      <c r="BJ48" s="2247"/>
      <c r="BK48" s="2248"/>
      <c r="BL48" s="2248"/>
      <c r="BM48" s="2248"/>
      <c r="BN48" s="2248"/>
      <c r="BO48" s="2248"/>
      <c r="BP48" s="2248"/>
      <c r="BQ48" s="2651"/>
      <c r="BR48" s="2249"/>
      <c r="BS48" s="1260" t="s">
        <v>417</v>
      </c>
      <c r="BU48" s="502"/>
      <c r="BV48" s="502" t="str">
        <f>IF(T48="","",T48)</f>
        <v>Группа потребителей</v>
      </c>
      <c r="BW48" s="502"/>
      <c r="BX48" s="502"/>
      <c r="BY48" s="1157">
        <v>21</v>
      </c>
    </row>
    <row customHeight="1" ht="21.75">
      <c r="A49" s="1365" t="s">
        <v>168</v>
      </c>
      <c r="B49" s="1365" t="s">
        <v>169</v>
      </c>
      <c r="C49" s="1365" t="s">
        <v>170</v>
      </c>
      <c r="D49" s="1365" t="s">
        <v>171</v>
      </c>
      <c r="E49" s="2261"/>
      <c r="F49" s="2261"/>
      <c r="G49" s="2261"/>
      <c r="H49" s="2261"/>
      <c r="I49" s="2288"/>
      <c r="J49" s="2288"/>
      <c r="K49" s="2258" t="str">
        <f>J48&amp;".1"</f>
        <v>1.1.1.1.1.1.1</v>
      </c>
      <c r="L49" s="1366" t="s">
        <v>418</v>
      </c>
      <c r="P49" s="2259"/>
      <c r="Q49" s="2259"/>
      <c r="R49" s="359">
        <v>1</v>
      </c>
      <c r="S49" s="1338" t="str">
        <f>$K49</f>
        <v>1.1.1.1.1.1.1</v>
      </c>
      <c r="T49" s="1349" t="s">
        <v>457</v>
      </c>
      <c r="U49" s="302"/>
      <c r="V49" s="753"/>
      <c r="W49" s="327"/>
      <c r="X49" s="753"/>
      <c r="Y49" s="1259"/>
      <c r="Z49" s="2267"/>
      <c r="AA49" s="2109" t="s">
        <v>68</v>
      </c>
      <c r="AB49" s="2267"/>
      <c r="AC49" s="2109" t="s">
        <v>68</v>
      </c>
      <c r="AD49" s="753">
        <v>1923.7</v>
      </c>
      <c r="AE49" s="327"/>
      <c r="AF49" s="753"/>
      <c r="AG49" s="1259"/>
      <c r="AH49" s="2604">
        <v>45658</v>
      </c>
      <c r="AI49" s="2109" t="s">
        <v>68</v>
      </c>
      <c r="AJ49" s="2289">
        <v>46022</v>
      </c>
      <c r="AK49" s="2109" t="s">
        <v>68</v>
      </c>
      <c r="AL49" s="753">
        <v>1997.42</v>
      </c>
      <c r="AM49" s="327"/>
      <c r="AN49" s="753"/>
      <c r="AO49" s="1259"/>
      <c r="AP49" s="2604">
        <v>46023</v>
      </c>
      <c r="AQ49" s="2109" t="s">
        <v>68</v>
      </c>
      <c r="AR49" s="2604">
        <v>46387</v>
      </c>
      <c r="AS49" s="2109" t="s">
        <v>68</v>
      </c>
      <c r="AT49" s="753">
        <v>2282.44</v>
      </c>
      <c r="AU49" s="327"/>
      <c r="AV49" s="753"/>
      <c r="AW49" s="1259"/>
      <c r="AX49" s="2604">
        <v>46388.362233796295</v>
      </c>
      <c r="AY49" s="2109" t="s">
        <v>68</v>
      </c>
      <c r="AZ49" s="2604">
        <v>46752.36236111111</v>
      </c>
      <c r="BA49" s="2109" t="s">
        <v>68</v>
      </c>
      <c r="BB49" s="753">
        <v>2368.99</v>
      </c>
      <c r="BC49" s="327"/>
      <c r="BD49" s="753"/>
      <c r="BE49" s="1259"/>
      <c r="BF49" s="2604">
        <v>46753</v>
      </c>
      <c r="BG49" s="2109" t="s">
        <v>68</v>
      </c>
      <c r="BH49" s="2604">
        <v>47118</v>
      </c>
      <c r="BI49" s="2109" t="s">
        <v>68</v>
      </c>
      <c r="BJ49" s="753">
        <v>2508.41</v>
      </c>
      <c r="BK49" s="327"/>
      <c r="BL49" s="753"/>
      <c r="BM49" s="1259"/>
      <c r="BN49" s="2604">
        <v>47119.363032407404</v>
      </c>
      <c r="BO49" s="2109" t="s">
        <v>68</v>
      </c>
      <c r="BP49" s="2604">
        <v>47483.363171296296</v>
      </c>
      <c r="BQ49" s="2109" t="s">
        <v>68</v>
      </c>
      <c r="BR49" s="1350"/>
      <c r="BS49" s="2255" t="s">
        <v>419</v>
      </c>
      <c r="BT49" s="513">
        <f>STRCHECKDATE(V50:BR50)</f>
      </c>
      <c r="BU49" s="502"/>
      <c r="BV49" s="502" t="str">
        <f>IF(T49="","",T49)</f>
        <v>вода</v>
      </c>
      <c r="BW49" s="502"/>
      <c r="BX49" s="502"/>
      <c r="BY49" s="1157">
        <v>21</v>
      </c>
    </row>
    <row customHeight="1" ht="0.75">
      <c r="A50" s="1365" t="s">
        <v>168</v>
      </c>
      <c r="B50" s="1365" t="s">
        <v>169</v>
      </c>
      <c r="C50" s="1365" t="s">
        <v>170</v>
      </c>
      <c r="D50" s="1365" t="s">
        <v>171</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45658-46022</v>
      </c>
      <c r="AH50" s="2268"/>
      <c r="AI50" s="2109"/>
      <c r="AJ50" s="2290"/>
      <c r="AK50" s="2109"/>
      <c r="AL50" s="327"/>
      <c r="AM50" s="327"/>
      <c r="AN50" s="327"/>
      <c r="AO50" s="330" t="str">
        <f>AP49&amp;"-"&amp;AR49</f>
        <v>46023-46387</v>
      </c>
      <c r="AP50" s="2311"/>
      <c r="AQ50" s="2109"/>
      <c r="AR50" s="2311"/>
      <c r="AS50" s="2109"/>
      <c r="AT50" s="327"/>
      <c r="AU50" s="327"/>
      <c r="AV50" s="327"/>
      <c r="AW50" s="330" t="str">
        <f>AX49&amp;"-"&amp;AZ49</f>
        <v>46388.362233796295-46752.36236111111</v>
      </c>
      <c r="AX50" s="2311"/>
      <c r="AY50" s="2109"/>
      <c r="AZ50" s="2311"/>
      <c r="BA50" s="2109"/>
      <c r="BB50" s="327"/>
      <c r="BC50" s="327"/>
      <c r="BD50" s="327"/>
      <c r="BE50" s="330" t="str">
        <f>BF49&amp;"-"&amp;BH49</f>
        <v>46753-47118</v>
      </c>
      <c r="BF50" s="2311"/>
      <c r="BG50" s="2109"/>
      <c r="BH50" s="2311"/>
      <c r="BI50" s="2109"/>
      <c r="BJ50" s="327"/>
      <c r="BK50" s="327"/>
      <c r="BL50" s="327"/>
      <c r="BM50" s="330" t="str">
        <f>BN49&amp;"-"&amp;BP49</f>
        <v>47119.363032407404-47483.363171296296</v>
      </c>
      <c r="BN50" s="2311"/>
      <c r="BO50" s="2109"/>
      <c r="BP50" s="2311"/>
      <c r="BQ50" s="2109"/>
      <c r="BR50" s="1351"/>
      <c r="BS50" s="2256"/>
      <c r="BU50" s="502"/>
      <c r="BV50" s="502" t="str">
        <f>IF(T50="","",T50)</f>
        <v/>
      </c>
      <c r="BW50" s="502"/>
      <c r="BX50" s="502"/>
      <c r="BY50" s="1157">
        <v>1</v>
      </c>
    </row>
    <row customHeight="1" ht="11.25">
      <c r="A51" s="1365" t="s">
        <v>168</v>
      </c>
      <c r="B51" s="1365" t="s">
        <v>169</v>
      </c>
      <c r="C51" s="1365" t="s">
        <v>170</v>
      </c>
      <c r="D51" s="1365" t="s">
        <v>171</v>
      </c>
      <c r="E51" s="2261"/>
      <c r="F51" s="2261"/>
      <c r="G51" s="2261"/>
      <c r="H51" s="2261"/>
      <c r="I51" s="2288"/>
      <c r="J51" s="2258"/>
      <c r="K51" s="1365"/>
      <c r="L51" s="1366"/>
      <c r="P51" s="2259"/>
      <c r="Q51" s="2259"/>
      <c r="R51" s="358"/>
      <c r="S51" s="1280"/>
      <c r="T51" s="290" t="s">
        <v>420</v>
      </c>
      <c r="U51" s="369"/>
      <c r="V51" s="369"/>
      <c r="W51" s="369"/>
      <c r="X51" s="369"/>
      <c r="Y51" s="369"/>
      <c r="Z51" s="369"/>
      <c r="AA51" s="369"/>
      <c r="AB51" s="369"/>
      <c r="AC51" s="369"/>
      <c r="AD51" s="369"/>
      <c r="AE51" s="369"/>
      <c r="AF51" s="369"/>
      <c r="AG51" s="369"/>
      <c r="AH51" s="369"/>
      <c r="AI51" s="369"/>
      <c r="AJ51" s="369"/>
      <c r="AK51" s="369"/>
      <c r="AL51" s="2645"/>
      <c r="AM51" s="2645"/>
      <c r="AN51" s="2645"/>
      <c r="AO51" s="2645"/>
      <c r="AP51" s="2645"/>
      <c r="AQ51" s="2645"/>
      <c r="AR51" s="2645"/>
      <c r="AS51" s="2645"/>
      <c r="AT51" s="2645"/>
      <c r="AU51" s="2645"/>
      <c r="AV51" s="2645"/>
      <c r="AW51" s="2645"/>
      <c r="AX51" s="2645"/>
      <c r="AY51" s="2645"/>
      <c r="AZ51" s="2645"/>
      <c r="BA51" s="2645"/>
      <c r="BB51" s="2645"/>
      <c r="BC51" s="2645"/>
      <c r="BD51" s="2645"/>
      <c r="BE51" s="2645"/>
      <c r="BF51" s="2645"/>
      <c r="BG51" s="2645"/>
      <c r="BH51" s="2645"/>
      <c r="BI51" s="2645"/>
      <c r="BJ51" s="2645"/>
      <c r="BK51" s="2645"/>
      <c r="BL51" s="2645"/>
      <c r="BM51" s="2645"/>
      <c r="BN51" s="2645"/>
      <c r="BO51" s="2645"/>
      <c r="BP51" s="2645"/>
      <c r="BQ51" s="2653"/>
      <c r="BR51" s="326"/>
      <c r="BS51" s="2257"/>
      <c r="BU51" s="502"/>
      <c r="BV51" s="502" t="str">
        <f>IF(T51="","",T51)</f>
        <v>Добавить вид теплоносителя (параметры теплоносителя)</v>
      </c>
      <c r="BW51" s="502"/>
      <c r="BX51" s="502"/>
      <c r="BY51" s="1157">
        <v>11</v>
      </c>
    </row>
    <row customHeight="1" ht="11.25">
      <c r="A52" s="1365" t="s">
        <v>168</v>
      </c>
      <c r="B52" s="1365" t="s">
        <v>169</v>
      </c>
      <c r="C52" s="1365" t="s">
        <v>170</v>
      </c>
      <c r="D52" s="1365" t="s">
        <v>171</v>
      </c>
      <c r="E52" s="2261"/>
      <c r="F52" s="2261"/>
      <c r="G52" s="2261"/>
      <c r="H52" s="2261"/>
      <c r="I52" s="2258"/>
      <c r="J52" s="1365"/>
      <c r="K52" s="1365"/>
      <c r="L52" s="1366"/>
      <c r="P52" s="2259"/>
      <c r="Q52" s="1333"/>
      <c r="R52" s="358"/>
      <c r="S52" s="1280"/>
      <c r="T52" s="289" t="s">
        <v>421</v>
      </c>
      <c r="U52" s="369"/>
      <c r="V52" s="369"/>
      <c r="W52" s="369"/>
      <c r="X52" s="369"/>
      <c r="Y52" s="369"/>
      <c r="Z52" s="369"/>
      <c r="AA52" s="369"/>
      <c r="AB52" s="369"/>
      <c r="AC52" s="368"/>
      <c r="AD52" s="369"/>
      <c r="AE52" s="369"/>
      <c r="AF52" s="369"/>
      <c r="AG52" s="369"/>
      <c r="AH52" s="369"/>
      <c r="AI52" s="369"/>
      <c r="AJ52" s="369"/>
      <c r="AK52" s="368"/>
      <c r="AL52" s="2645"/>
      <c r="AM52" s="2645"/>
      <c r="AN52" s="2645"/>
      <c r="AO52" s="2645"/>
      <c r="AP52" s="2645"/>
      <c r="AQ52" s="2645"/>
      <c r="AR52" s="2645"/>
      <c r="AS52" s="2646"/>
      <c r="AT52" s="2645"/>
      <c r="AU52" s="2645"/>
      <c r="AV52" s="2645"/>
      <c r="AW52" s="2645"/>
      <c r="AX52" s="2645"/>
      <c r="AY52" s="2645"/>
      <c r="AZ52" s="2645"/>
      <c r="BA52" s="2646"/>
      <c r="BB52" s="2645"/>
      <c r="BC52" s="2645"/>
      <c r="BD52" s="2645"/>
      <c r="BE52" s="2645"/>
      <c r="BF52" s="2645"/>
      <c r="BG52" s="2645"/>
      <c r="BH52" s="2645"/>
      <c r="BI52" s="2646"/>
      <c r="BJ52" s="2645"/>
      <c r="BK52" s="2645"/>
      <c r="BL52" s="2645"/>
      <c r="BM52" s="2645"/>
      <c r="BN52" s="2645"/>
      <c r="BO52" s="2645"/>
      <c r="BP52" s="2645"/>
      <c r="BQ52" s="2654"/>
      <c r="BR52" s="369"/>
      <c r="BS52" s="305"/>
      <c r="BU52" s="502"/>
      <c r="BV52" s="502" t="str">
        <f>IF(T52="","",T52)</f>
        <v>Добавить группу потребителей</v>
      </c>
      <c r="BW52" s="502"/>
      <c r="BX52" s="502"/>
      <c r="BY52" s="1157">
        <v>11</v>
      </c>
    </row>
    <row customHeight="1" ht="15">
      <c r="A53" s="1365" t="s">
        <v>168</v>
      </c>
      <c r="B53" s="1365" t="s">
        <v>169</v>
      </c>
      <c r="C53" s="1365" t="s">
        <v>170</v>
      </c>
      <c r="D53" s="1365" t="s">
        <v>171</v>
      </c>
      <c r="E53" s="2261"/>
      <c r="F53" s="2261"/>
      <c r="G53" s="2261"/>
      <c r="H53" s="2260"/>
      <c r="I53" s="1365"/>
      <c r="J53" s="1365"/>
      <c r="K53" s="1365"/>
      <c r="L53" s="1366"/>
      <c r="M53" s="1367"/>
      <c r="N53" s="1367"/>
      <c r="O53" s="539"/>
      <c r="P53" s="362"/>
      <c r="Q53" s="377"/>
      <c r="R53" s="357"/>
      <c r="S53" s="1280"/>
      <c r="T53" s="367" t="s">
        <v>422</v>
      </c>
      <c r="U53" s="369"/>
      <c r="V53" s="369"/>
      <c r="W53" s="369"/>
      <c r="X53" s="369"/>
      <c r="Y53" s="369"/>
      <c r="Z53" s="369"/>
      <c r="AA53" s="369"/>
      <c r="AB53" s="369"/>
      <c r="AC53" s="368"/>
      <c r="AD53" s="369"/>
      <c r="AE53" s="369"/>
      <c r="AF53" s="369"/>
      <c r="AG53" s="369"/>
      <c r="AH53" s="369"/>
      <c r="AI53" s="369"/>
      <c r="AJ53" s="369"/>
      <c r="AK53" s="368"/>
      <c r="AL53" s="2645"/>
      <c r="AM53" s="2645"/>
      <c r="AN53" s="2645"/>
      <c r="AO53" s="2645"/>
      <c r="AP53" s="2645"/>
      <c r="AQ53" s="2645"/>
      <c r="AR53" s="2645"/>
      <c r="AS53" s="2646"/>
      <c r="AT53" s="2645"/>
      <c r="AU53" s="2645"/>
      <c r="AV53" s="2645"/>
      <c r="AW53" s="2645"/>
      <c r="AX53" s="2645"/>
      <c r="AY53" s="2645"/>
      <c r="AZ53" s="2645"/>
      <c r="BA53" s="2646"/>
      <c r="BB53" s="2645"/>
      <c r="BC53" s="2645"/>
      <c r="BD53" s="2645"/>
      <c r="BE53" s="2645"/>
      <c r="BF53" s="2645"/>
      <c r="BG53" s="2645"/>
      <c r="BH53" s="2645"/>
      <c r="BI53" s="2646"/>
      <c r="BJ53" s="2645"/>
      <c r="BK53" s="2645"/>
      <c r="BL53" s="2645"/>
      <c r="BM53" s="2645"/>
      <c r="BN53" s="2645"/>
      <c r="BO53" s="2645"/>
      <c r="BP53" s="2645"/>
      <c r="BQ53" s="2654"/>
      <c r="BR53" s="369"/>
      <c r="BS53" s="305"/>
      <c r="BU53" s="502"/>
      <c r="BV53" s="502" t="str">
        <f>IF(T53="","",T53)</f>
        <v>Добавить схему подключения</v>
      </c>
      <c r="BW53" s="502"/>
      <c r="BX53" s="502"/>
      <c r="BY53" s="1157">
        <v>14</v>
      </c>
    </row>
    <row s="1644" customFormat="1" customHeight="1" ht="0.75">
      <c r="A54" s="1345" t="s">
        <v>168</v>
      </c>
      <c r="B54" s="1345" t="s">
        <v>169</v>
      </c>
      <c r="C54" s="1345" t="s">
        <v>170</v>
      </c>
      <c r="D54" s="1316"/>
      <c r="E54" s="2261"/>
      <c r="F54" s="2261"/>
      <c r="G54" s="2260"/>
      <c r="H54" s="1316"/>
      <c r="I54" s="1316"/>
      <c r="J54" s="1316"/>
      <c r="K54" s="1316"/>
      <c r="L54" s="1341"/>
      <c r="M54" s="1317"/>
      <c r="N54" s="1317"/>
      <c r="P54" s="1318"/>
      <c r="Q54" s="1319"/>
      <c r="R54" s="1318"/>
      <c r="S54" s="1324"/>
      <c r="T54" s="1327" t="s">
        <v>172</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T54" s="1326"/>
      <c r="AU54" s="1326"/>
      <c r="AV54" s="1326"/>
      <c r="AW54" s="1326"/>
      <c r="AX54" s="1326"/>
      <c r="AY54" s="1326"/>
      <c r="AZ54" s="1326"/>
      <c r="BA54" s="1326"/>
      <c r="BB54" s="1326"/>
      <c r="BC54" s="1326"/>
      <c r="BD54" s="1326"/>
      <c r="BE54" s="1326"/>
      <c r="BF54" s="1326"/>
      <c r="BG54" s="1326"/>
      <c r="BH54" s="1326"/>
      <c r="BI54" s="1326"/>
      <c r="BJ54" s="1326"/>
      <c r="BK54" s="1326"/>
      <c r="BL54" s="1326"/>
      <c r="BM54" s="1326"/>
      <c r="BN54" s="1326"/>
      <c r="BO54" s="1326"/>
      <c r="BP54" s="1326"/>
      <c r="BQ54" s="2656"/>
      <c r="BR54" s="1326"/>
      <c r="BS54" s="1326"/>
      <c r="BU54" s="791"/>
      <c r="BV54" s="791" t="str">
        <f>IF(T54="","",T54)</f>
        <v>Добавить источник для дифференциации</v>
      </c>
      <c r="BW54" s="791"/>
      <c r="BX54" s="791"/>
      <c r="BY54" s="520">
        <v>1</v>
      </c>
    </row>
    <row s="1644" customFormat="1" customHeight="1" ht="0.75">
      <c r="A55" s="1345" t="s">
        <v>168</v>
      </c>
      <c r="B55" s="1345" t="s">
        <v>169</v>
      </c>
      <c r="C55" s="1316"/>
      <c r="D55" s="1316"/>
      <c r="E55" s="2261"/>
      <c r="F55" s="2260"/>
      <c r="G55" s="1316"/>
      <c r="H55" s="1316"/>
      <c r="I55" s="1316"/>
      <c r="J55" s="1316"/>
      <c r="K55" s="1316"/>
      <c r="L55" s="1341"/>
      <c r="M55" s="1323"/>
      <c r="N55" s="1323"/>
      <c r="P55" s="1318"/>
      <c r="Q55" s="1319"/>
      <c r="R55" s="1318"/>
      <c r="S55" s="1324"/>
      <c r="T55" s="1327" t="s">
        <v>173</v>
      </c>
      <c r="U55" s="1326"/>
      <c r="V55" s="1326"/>
      <c r="W55" s="1326"/>
      <c r="X55" s="1326"/>
      <c r="Y55" s="1326"/>
      <c r="Z55" s="1326"/>
      <c r="AA55" s="1326"/>
      <c r="AB55" s="1326"/>
      <c r="AC55" s="1326"/>
      <c r="AD55" s="1326"/>
      <c r="AE55" s="1326"/>
      <c r="AF55" s="1326"/>
      <c r="AG55" s="1326"/>
      <c r="AH55" s="1326"/>
      <c r="AI55" s="1326"/>
      <c r="AJ55" s="1326"/>
      <c r="AK55" s="1326"/>
      <c r="AL55" s="1326"/>
      <c r="AM55" s="1326"/>
      <c r="AN55" s="1326"/>
      <c r="AO55" s="1326"/>
      <c r="AP55" s="1326"/>
      <c r="AQ55" s="1326"/>
      <c r="AR55" s="1326"/>
      <c r="AS55" s="1326"/>
      <c r="AT55" s="1326"/>
      <c r="AU55" s="1326"/>
      <c r="AV55" s="1326"/>
      <c r="AW55" s="1326"/>
      <c r="AX55" s="1326"/>
      <c r="AY55" s="1326"/>
      <c r="AZ55" s="1326"/>
      <c r="BA55" s="1326"/>
      <c r="BB55" s="1326"/>
      <c r="BC55" s="1326"/>
      <c r="BD55" s="1326"/>
      <c r="BE55" s="1326"/>
      <c r="BF55" s="1326"/>
      <c r="BG55" s="1326"/>
      <c r="BH55" s="1326"/>
      <c r="BI55" s="1326"/>
      <c r="BJ55" s="1326"/>
      <c r="BK55" s="1326"/>
      <c r="BL55" s="1326"/>
      <c r="BM55" s="1326"/>
      <c r="BN55" s="1326"/>
      <c r="BO55" s="1326"/>
      <c r="BP55" s="1326"/>
      <c r="BQ55" s="2656"/>
      <c r="BR55" s="1326"/>
      <c r="BS55" s="1326"/>
      <c r="BU55" s="791"/>
      <c r="BV55" s="791" t="str">
        <f>IF(T55="","",T55)</f>
        <v>Добавить централизованную систему для дифференциации</v>
      </c>
      <c r="BW55" s="791"/>
      <c r="BX55" s="791"/>
      <c r="BY55" s="520">
        <v>1</v>
      </c>
    </row>
    <row s="1644" customFormat="1" customHeight="1" ht="0.75">
      <c r="A56" s="1345" t="s">
        <v>168</v>
      </c>
      <c r="B56" s="1345"/>
      <c r="C56" s="1345"/>
      <c r="D56" s="1345"/>
      <c r="E56" s="2260"/>
      <c r="F56" s="1345"/>
      <c r="G56" s="1345"/>
      <c r="H56" s="1345"/>
      <c r="I56" s="1345"/>
      <c r="J56" s="1345"/>
      <c r="K56" s="1345"/>
      <c r="L56" s="1348"/>
      <c r="M56" s="1323"/>
      <c r="N56" s="1323"/>
      <c r="O56" s="520"/>
      <c r="P56" s="382"/>
      <c r="Q56" s="1346"/>
      <c r="R56" s="382"/>
      <c r="S56" s="1324"/>
      <c r="T56" s="1327" t="s">
        <v>174</v>
      </c>
      <c r="U56" s="1326"/>
      <c r="V56" s="1326"/>
      <c r="W56" s="1326"/>
      <c r="X56" s="1326"/>
      <c r="Y56" s="1326"/>
      <c r="Z56" s="1326"/>
      <c r="AA56" s="1326"/>
      <c r="AB56" s="1326"/>
      <c r="AC56" s="1326"/>
      <c r="AD56" s="1326"/>
      <c r="AE56" s="1326"/>
      <c r="AF56" s="1326"/>
      <c r="AG56" s="1326"/>
      <c r="AH56" s="1326"/>
      <c r="AI56" s="1326"/>
      <c r="AJ56" s="1326"/>
      <c r="AK56" s="1326"/>
      <c r="AL56" s="1326"/>
      <c r="AM56" s="1326"/>
      <c r="AN56" s="1326"/>
      <c r="AO56" s="1326"/>
      <c r="AP56" s="1326"/>
      <c r="AQ56" s="1326"/>
      <c r="AR56" s="1326"/>
      <c r="AS56" s="1326"/>
      <c r="AT56" s="1326"/>
      <c r="AU56" s="1326"/>
      <c r="AV56" s="1326"/>
      <c r="AW56" s="1326"/>
      <c r="AX56" s="1326"/>
      <c r="AY56" s="1326"/>
      <c r="AZ56" s="1326"/>
      <c r="BA56" s="1326"/>
      <c r="BB56" s="1326"/>
      <c r="BC56" s="1326"/>
      <c r="BD56" s="1326"/>
      <c r="BE56" s="1326"/>
      <c r="BF56" s="1326"/>
      <c r="BG56" s="1326"/>
      <c r="BH56" s="1326"/>
      <c r="BI56" s="1326"/>
      <c r="BJ56" s="1326"/>
      <c r="BK56" s="1326"/>
      <c r="BL56" s="1326"/>
      <c r="BM56" s="1326"/>
      <c r="BN56" s="1326"/>
      <c r="BO56" s="1326"/>
      <c r="BP56" s="1326"/>
      <c r="BQ56" s="2656"/>
      <c r="BR56" s="1326"/>
      <c r="BS56" s="1326"/>
      <c r="BU56" s="502"/>
      <c r="BV56" s="502" t="str">
        <f>IF(T56="","",T56)</f>
        <v>Добавить территорию для дифференциации</v>
      </c>
      <c r="BW56" s="502"/>
      <c r="BX56" s="502"/>
      <c r="BY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175</v>
      </c>
      <c r="U57" s="1326"/>
      <c r="V57" s="1326"/>
      <c r="W57" s="1326"/>
      <c r="X57" s="1326"/>
      <c r="Y57" s="1326"/>
      <c r="Z57" s="1326"/>
      <c r="AA57" s="1326"/>
      <c r="AB57" s="1326"/>
      <c r="AC57" s="1326"/>
      <c r="AD57" s="1326"/>
      <c r="AE57" s="1326"/>
      <c r="AF57" s="1326"/>
      <c r="AG57" s="1326"/>
      <c r="AH57" s="1326"/>
      <c r="AI57" s="1326"/>
      <c r="AJ57" s="1326"/>
      <c r="AK57" s="1326"/>
      <c r="AL57" s="1326"/>
      <c r="AM57" s="1326"/>
      <c r="AN57" s="1326"/>
      <c r="AO57" s="1326"/>
      <c r="AP57" s="1326"/>
      <c r="AQ57" s="1326"/>
      <c r="AR57" s="1326"/>
      <c r="AS57" s="1326"/>
      <c r="AT57" s="1326"/>
      <c r="AU57" s="1326"/>
      <c r="AV57" s="1326"/>
      <c r="AW57" s="1326"/>
      <c r="AX57" s="1326"/>
      <c r="AY57" s="1326"/>
      <c r="AZ57" s="1326"/>
      <c r="BA57" s="1326"/>
      <c r="BB57" s="1326"/>
      <c r="BC57" s="1326"/>
      <c r="BD57" s="1326"/>
      <c r="BE57" s="1326"/>
      <c r="BF57" s="1326"/>
      <c r="BG57" s="1326"/>
      <c r="BH57" s="1326"/>
      <c r="BI57" s="1326"/>
      <c r="BJ57" s="1326"/>
      <c r="BK57" s="1326"/>
      <c r="BL57" s="1326"/>
      <c r="BM57" s="1326"/>
      <c r="BN57" s="1326"/>
      <c r="BO57" s="1326"/>
      <c r="BP57" s="1326"/>
      <c r="BQ57" s="2656"/>
      <c r="BR57" s="1326"/>
      <c r="BS57" s="1326"/>
      <c r="BU57" s="791"/>
      <c r="BV57" s="791" t="str">
        <f>IF(T57="","",T57)</f>
        <v>Добавить наименование тарифа</v>
      </c>
      <c r="BW57" s="791"/>
      <c r="BX57" s="791"/>
      <c r="BY57" s="520">
        <v>1</v>
      </c>
    </row>
    <row customHeight="1" ht="11.25">
      <c r="M58" s="1162"/>
      <c r="N58" s="1162"/>
      <c r="O58" s="539"/>
      <c r="P58" s="1157"/>
      <c r="Q58" s="1157"/>
      <c r="R58" s="1157"/>
      <c r="S58" s="1157"/>
      <c r="AL58" s="1637"/>
      <c r="AM58" s="1637"/>
      <c r="AN58" s="1637"/>
      <c r="AO58" s="1637"/>
      <c r="AP58" s="1637"/>
      <c r="AQ58" s="1637"/>
      <c r="AR58" s="1637"/>
      <c r="AS58" s="1637"/>
      <c r="AT58" s="1637"/>
      <c r="AU58" s="1637"/>
      <c r="AV58" s="1637"/>
      <c r="AW58" s="1637"/>
      <c r="AX58" s="1637"/>
      <c r="AY58" s="1637"/>
      <c r="AZ58" s="1637"/>
      <c r="BA58" s="1637"/>
      <c r="BB58" s="1637"/>
      <c r="BC58" s="1637"/>
      <c r="BD58" s="1637"/>
      <c r="BE58" s="1637"/>
      <c r="BF58" s="1637"/>
      <c r="BG58" s="1637"/>
      <c r="BH58" s="1637"/>
      <c r="BI58" s="1637"/>
      <c r="BJ58" s="1637"/>
      <c r="BK58" s="1637"/>
      <c r="BL58" s="1637"/>
      <c r="BM58" s="1637"/>
      <c r="BN58" s="1637"/>
      <c r="BO58" s="1637"/>
      <c r="BP58" s="1637"/>
      <c r="BQ58" s="2649"/>
      <c r="BT58" s="1157"/>
      <c r="BU58" s="1157"/>
      <c r="BV58" s="1157"/>
      <c r="BW58" s="1157"/>
      <c r="BX58" s="1157"/>
      <c r="BY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387"/>
      <c r="AM59" s="2387"/>
      <c r="AN59" s="2387"/>
      <c r="AO59" s="2387"/>
      <c r="AP59" s="2387"/>
      <c r="AQ59" s="2387"/>
      <c r="AR59" s="2387"/>
      <c r="AS59" s="2387"/>
      <c r="AT59" s="2387"/>
      <c r="AU59" s="2387"/>
      <c r="AV59" s="2387"/>
      <c r="AW59" s="2387"/>
      <c r="AX59" s="2387"/>
      <c r="AY59" s="2387"/>
      <c r="AZ59" s="2387"/>
      <c r="BA59" s="2387"/>
      <c r="BB59" s="2387"/>
      <c r="BC59" s="2387"/>
      <c r="BD59" s="2387"/>
      <c r="BE59" s="2387"/>
      <c r="BF59" s="2387"/>
      <c r="BG59" s="2387"/>
      <c r="BH59" s="2387"/>
      <c r="BI59" s="2387"/>
      <c r="BJ59" s="2387"/>
      <c r="BK59" s="2387"/>
      <c r="BL59" s="2387"/>
      <c r="BM59" s="2387"/>
      <c r="BN59" s="2387"/>
      <c r="BO59" s="2387"/>
      <c r="BP59" s="2387"/>
      <c r="BQ59" s="2669"/>
      <c r="BR59" s="2287"/>
      <c r="BS59" s="2287"/>
      <c r="BY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387"/>
      <c r="AM60" s="2387"/>
      <c r="AN60" s="2387"/>
      <c r="AO60" s="2387"/>
      <c r="AP60" s="2387"/>
      <c r="AQ60" s="2387"/>
      <c r="AR60" s="2387"/>
      <c r="AS60" s="2387"/>
      <c r="AT60" s="2387"/>
      <c r="AU60" s="2387"/>
      <c r="AV60" s="2387"/>
      <c r="AW60" s="2387"/>
      <c r="AX60" s="2387"/>
      <c r="AY60" s="2387"/>
      <c r="AZ60" s="2387"/>
      <c r="BA60" s="2387"/>
      <c r="BB60" s="2387"/>
      <c r="BC60" s="2387"/>
      <c r="BD60" s="2387"/>
      <c r="BE60" s="2387"/>
      <c r="BF60" s="2387"/>
      <c r="BG60" s="2387"/>
      <c r="BH60" s="2387"/>
      <c r="BI60" s="2387"/>
      <c r="BJ60" s="2387"/>
      <c r="BK60" s="2387"/>
      <c r="BL60" s="2387"/>
      <c r="BM60" s="2387"/>
      <c r="BN60" s="2387"/>
      <c r="BO60" s="2387"/>
      <c r="BP60" s="2387"/>
      <c r="BQ60" s="2669"/>
      <c r="BR60" s="2287"/>
      <c r="BS60" s="2287"/>
      <c r="BY60" s="1157">
        <v>62</v>
      </c>
    </row>
    <row customHeight="1" ht="15">
      <c r="O61" s="539"/>
      <c r="AL61" s="1637"/>
      <c r="AM61" s="1637"/>
      <c r="AN61" s="1637"/>
      <c r="AO61" s="1637"/>
      <c r="AP61" s="1637"/>
      <c r="AQ61" s="1637"/>
      <c r="AR61" s="1637"/>
      <c r="AS61" s="1637"/>
      <c r="AT61" s="1637"/>
      <c r="AU61" s="1637"/>
      <c r="AV61" s="1637"/>
      <c r="AW61" s="1637"/>
      <c r="AX61" s="1637"/>
      <c r="AY61" s="1637"/>
      <c r="AZ61" s="1637"/>
      <c r="BA61" s="1637"/>
      <c r="BB61" s="1637"/>
      <c r="BC61" s="1637"/>
      <c r="BD61" s="1637"/>
      <c r="BE61" s="1637"/>
      <c r="BF61" s="1637"/>
      <c r="BG61" s="1637"/>
      <c r="BH61" s="1637"/>
      <c r="BI61" s="1637"/>
      <c r="BJ61" s="1637"/>
      <c r="BK61" s="1637"/>
      <c r="BL61" s="1637"/>
      <c r="BM61" s="1637"/>
      <c r="BN61" s="1637"/>
      <c r="BO61" s="1637"/>
      <c r="BP61" s="1637"/>
      <c r="BQ61" s="2649"/>
      <c r="BY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387"/>
      <c r="AM62" s="2387"/>
      <c r="AN62" s="2387"/>
      <c r="AO62" s="2387"/>
      <c r="AP62" s="2387"/>
      <c r="AQ62" s="2387"/>
      <c r="AR62" s="2387"/>
      <c r="AS62" s="2387"/>
      <c r="AT62" s="2387"/>
      <c r="AU62" s="2387"/>
      <c r="AV62" s="2387"/>
      <c r="AW62" s="2387"/>
      <c r="AX62" s="2387"/>
      <c r="AY62" s="2387"/>
      <c r="AZ62" s="2387"/>
      <c r="BA62" s="2387"/>
      <c r="BB62" s="2387"/>
      <c r="BC62" s="2387"/>
      <c r="BD62" s="2387"/>
      <c r="BE62" s="2387"/>
      <c r="BF62" s="2387"/>
      <c r="BG62" s="2387"/>
      <c r="BH62" s="2387"/>
      <c r="BI62" s="2387"/>
      <c r="BJ62" s="2387"/>
      <c r="BK62" s="2387"/>
      <c r="BL62" s="2387"/>
      <c r="BM62" s="2387"/>
      <c r="BN62" s="2387"/>
      <c r="BO62" s="2387"/>
      <c r="BP62" s="2387"/>
      <c r="BQ62" s="2669"/>
      <c r="BR62" s="2287"/>
      <c r="BS62" s="2287"/>
      <c r="BY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387"/>
      <c r="AM63" s="2387"/>
      <c r="AN63" s="2387"/>
      <c r="AO63" s="2387"/>
      <c r="AP63" s="2387"/>
      <c r="AQ63" s="2387"/>
      <c r="AR63" s="2387"/>
      <c r="AS63" s="2387"/>
      <c r="AT63" s="2387"/>
      <c r="AU63" s="2387"/>
      <c r="AV63" s="2387"/>
      <c r="AW63" s="2387"/>
      <c r="AX63" s="2387"/>
      <c r="AY63" s="2387"/>
      <c r="AZ63" s="2387"/>
      <c r="BA63" s="2387"/>
      <c r="BB63" s="2387"/>
      <c r="BC63" s="2387"/>
      <c r="BD63" s="2387"/>
      <c r="BE63" s="2387"/>
      <c r="BF63" s="2387"/>
      <c r="BG63" s="2387"/>
      <c r="BH63" s="2387"/>
      <c r="BI63" s="2387"/>
      <c r="BJ63" s="2387"/>
      <c r="BK63" s="2387"/>
      <c r="BL63" s="2387"/>
      <c r="BM63" s="2387"/>
      <c r="BN63" s="2387"/>
      <c r="BO63" s="2387"/>
      <c r="BP63" s="2387"/>
      <c r="BQ63" s="2669"/>
      <c r="BR63" s="2287"/>
      <c r="BS63" s="2287"/>
      <c r="BY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387"/>
      <c r="AM64" s="2387"/>
      <c r="AN64" s="2387"/>
      <c r="AO64" s="2387"/>
      <c r="AP64" s="2387"/>
      <c r="AQ64" s="2387"/>
      <c r="AR64" s="2387"/>
      <c r="AS64" s="2387"/>
      <c r="AT64" s="2387"/>
      <c r="AU64" s="2387"/>
      <c r="AV64" s="2387"/>
      <c r="AW64" s="2387"/>
      <c r="AX64" s="2387"/>
      <c r="AY64" s="2387"/>
      <c r="AZ64" s="2387"/>
      <c r="BA64" s="2387"/>
      <c r="BB64" s="2387"/>
      <c r="BC64" s="2387"/>
      <c r="BD64" s="2387"/>
      <c r="BE64" s="2387"/>
      <c r="BF64" s="2387"/>
      <c r="BG64" s="2387"/>
      <c r="BH64" s="2387"/>
      <c r="BI64" s="2387"/>
      <c r="BJ64" s="2387"/>
      <c r="BK64" s="2387"/>
      <c r="BL64" s="2387"/>
      <c r="BM64" s="2387"/>
      <c r="BN64" s="2387"/>
      <c r="BO64" s="2387"/>
      <c r="BP64" s="2387"/>
      <c r="BQ64" s="2669"/>
      <c r="BR64" s="2287"/>
      <c r="BS64" s="2287"/>
      <c r="BY64" s="1157">
        <v>28</v>
      </c>
    </row>
    <row customHeight="1" ht="22.5" hidden="1">
      <c r="A65" s="1162" t="s">
        <v>84</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637">
        <v>0</v>
      </c>
      <c r="AM65" s="1637">
        <v>0</v>
      </c>
      <c r="AN65" s="1637">
        <v>0</v>
      </c>
      <c r="AO65" s="1637">
        <v>0</v>
      </c>
      <c r="AP65" s="1637">
        <v>0</v>
      </c>
      <c r="AQ65" s="1637">
        <v>0</v>
      </c>
      <c r="AR65" s="1637">
        <v>0</v>
      </c>
      <c r="AS65" s="1637">
        <v>0</v>
      </c>
      <c r="AT65" s="1637">
        <v>0</v>
      </c>
      <c r="AU65" s="1637">
        <v>0</v>
      </c>
      <c r="AV65" s="1637">
        <v>0</v>
      </c>
      <c r="AW65" s="1637">
        <v>0</v>
      </c>
      <c r="AX65" s="1637">
        <v>0</v>
      </c>
      <c r="AY65" s="1637">
        <v>0</v>
      </c>
      <c r="AZ65" s="1637">
        <v>0</v>
      </c>
      <c r="BA65" s="1637">
        <v>0</v>
      </c>
      <c r="BB65" s="1637">
        <v>0</v>
      </c>
      <c r="BC65" s="1637">
        <v>0</v>
      </c>
      <c r="BD65" s="1637">
        <v>0</v>
      </c>
      <c r="BE65" s="1637">
        <v>0</v>
      </c>
      <c r="BF65" s="1637">
        <v>0</v>
      </c>
      <c r="BG65" s="1637">
        <v>0</v>
      </c>
      <c r="BH65" s="1637">
        <v>0</v>
      </c>
      <c r="BI65" s="1637">
        <v>0</v>
      </c>
      <c r="BJ65" s="1637">
        <v>0</v>
      </c>
      <c r="BK65" s="1637">
        <v>0</v>
      </c>
      <c r="BL65" s="1637">
        <v>0</v>
      </c>
      <c r="BM65" s="1637">
        <v>0</v>
      </c>
      <c r="BN65" s="1637">
        <v>0</v>
      </c>
      <c r="BO65" s="1637">
        <v>0</v>
      </c>
      <c r="BP65" s="1637">
        <v>0</v>
      </c>
      <c r="BQ65" s="2649">
        <v>0</v>
      </c>
      <c r="BR65" s="1157">
        <v>4</v>
      </c>
      <c r="BS65" s="1157">
        <v>115</v>
      </c>
      <c r="BT65" s="513">
        <v>10</v>
      </c>
      <c r="BU65" s="513">
        <v>10</v>
      </c>
      <c r="BV65" s="513">
        <v>10</v>
      </c>
      <c r="BW65" s="513">
        <v>10</v>
      </c>
      <c r="BX65" s="513">
        <v>10</v>
      </c>
      <c r="BY65" s="1157">
        <v>23</v>
      </c>
    </row>
  </sheetData>
  <sheetProtection formatColumns="0" formatRows="0" autoFilter="0" sort="0" insertRows="0" insertColumns="1" deleteRows="0" deleteColumns="0"/>
  <mergeCells count="204">
    <mergeCell ref="T63:BS63"/>
    <mergeCell ref="T64:BS64"/>
    <mergeCell ref="T62:BS62"/>
    <mergeCell ref="BS49:BS51"/>
    <mergeCell ref="T59:BS59"/>
    <mergeCell ref="T60:BS60"/>
    <mergeCell ref="J48:J51"/>
    <mergeCell ref="Q48:Q51"/>
    <mergeCell ref="V48:AC48"/>
    <mergeCell ref="AD48:BR48"/>
    <mergeCell ref="K49:K50"/>
    <mergeCell ref="Z49:Z50"/>
    <mergeCell ref="AA49:AA50"/>
    <mergeCell ref="AB49:AB50"/>
    <mergeCell ref="AC49:AC50"/>
    <mergeCell ref="AH49:AH50"/>
    <mergeCell ref="AI49:AI50"/>
    <mergeCell ref="AJ49:AJ50"/>
    <mergeCell ref="AK49:AK50"/>
    <mergeCell ref="E43:E56"/>
    <mergeCell ref="V43:AC43"/>
    <mergeCell ref="AD43:BR43"/>
    <mergeCell ref="F44:F55"/>
    <mergeCell ref="V44:AC44"/>
    <mergeCell ref="AD44:BR44"/>
    <mergeCell ref="G45:G54"/>
    <mergeCell ref="V45:AC45"/>
    <mergeCell ref="AD45:BR45"/>
    <mergeCell ref="H46:H53"/>
    <mergeCell ref="V46:AC46"/>
    <mergeCell ref="AD46:BR46"/>
    <mergeCell ref="I47:I52"/>
    <mergeCell ref="P47:P52"/>
    <mergeCell ref="V47:AC47"/>
    <mergeCell ref="AD47:BR47"/>
    <mergeCell ref="AH40:AJ40"/>
    <mergeCell ref="AA41:AB41"/>
    <mergeCell ref="AI41:AJ41"/>
    <mergeCell ref="AA42:AB42"/>
    <mergeCell ref="AI42:AJ42"/>
    <mergeCell ref="S38:BR38"/>
    <mergeCell ref="BS38:BS41"/>
    <mergeCell ref="S39:S41"/>
    <mergeCell ref="T39:T41"/>
    <mergeCell ref="V39:AB39"/>
    <mergeCell ref="AC39:AC41"/>
    <mergeCell ref="AD39:AJ39"/>
    <mergeCell ref="AK39:AK41"/>
    <mergeCell ref="BR39:BR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BS8:BS10"/>
    <mergeCell ref="AH17:AH18"/>
    <mergeCell ref="AI17:AI18"/>
    <mergeCell ref="AJ17:AJ18"/>
    <mergeCell ref="AK17:AK18"/>
    <mergeCell ref="AH8:AH9"/>
    <mergeCell ref="AI8:AI9"/>
    <mergeCell ref="AJ8:AJ9"/>
    <mergeCell ref="AK8:AK9"/>
    <mergeCell ref="V7:AC7"/>
    <mergeCell ref="AD7:BR7"/>
    <mergeCell ref="V2:AC2"/>
    <mergeCell ref="AD2:BR2"/>
    <mergeCell ref="V3:AC3"/>
    <mergeCell ref="AD3:BR3"/>
    <mergeCell ref="V4:AC4"/>
    <mergeCell ref="AD4:BR4"/>
    <mergeCell ref="V5:AC5"/>
    <mergeCell ref="AD5:BR5"/>
    <mergeCell ref="V6:AC6"/>
    <mergeCell ref="AD6:BR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AP8:AP9"/>
    <mergeCell ref="AQ8:AQ9"/>
    <mergeCell ref="AR8:AR9"/>
    <mergeCell ref="AS8:AS9"/>
    <mergeCell ref="AL29:AR29"/>
    <mergeCell ref="AL30:AR30"/>
    <mergeCell ref="AL31:AR31"/>
    <mergeCell ref="AL32:AR32"/>
    <mergeCell ref="AL34:AR34"/>
    <mergeCell ref="AL35:AR35"/>
    <mergeCell ref="AL37:AS37"/>
    <mergeCell ref="AL39:AR39"/>
    <mergeCell ref="AS39:AS41"/>
    <mergeCell ref="AL40:AL41"/>
    <mergeCell ref="AM40:AM41"/>
    <mergeCell ref="AN40:AO40"/>
    <mergeCell ref="AP40:AR40"/>
    <mergeCell ref="AQ41:AR41"/>
    <mergeCell ref="AQ42:AR42"/>
    <mergeCell ref="AP49:AP50"/>
    <mergeCell ref="AQ49:AQ50"/>
    <mergeCell ref="AR49:AR50"/>
    <mergeCell ref="AS49:AS50"/>
    <mergeCell ref="AX8:AX9"/>
    <mergeCell ref="AY8:AY9"/>
    <mergeCell ref="AZ8:AZ9"/>
    <mergeCell ref="BA8:BA9"/>
    <mergeCell ref="AT29:AZ29"/>
    <mergeCell ref="AT30:AZ30"/>
    <mergeCell ref="AT31:AZ31"/>
    <mergeCell ref="AT32:AZ32"/>
    <mergeCell ref="AT34:AZ34"/>
    <mergeCell ref="AT35:AZ35"/>
    <mergeCell ref="AT37:BA37"/>
    <mergeCell ref="AT39:AZ39"/>
    <mergeCell ref="BA39:BA41"/>
    <mergeCell ref="AT40:AT41"/>
    <mergeCell ref="AU40:AU41"/>
    <mergeCell ref="AV40:AW40"/>
    <mergeCell ref="AX40:AZ40"/>
    <mergeCell ref="AY41:AZ41"/>
    <mergeCell ref="AY42:AZ42"/>
    <mergeCell ref="AX49:AX50"/>
    <mergeCell ref="AY49:AY50"/>
    <mergeCell ref="AZ49:AZ50"/>
    <mergeCell ref="BA49:BA50"/>
    <mergeCell ref="BF8:BF9"/>
    <mergeCell ref="BG8:BG9"/>
    <mergeCell ref="BH8:BH9"/>
    <mergeCell ref="BI8:BI9"/>
    <mergeCell ref="BB29:BH29"/>
    <mergeCell ref="BB30:BH30"/>
    <mergeCell ref="BB31:BH31"/>
    <mergeCell ref="BB32:BH32"/>
    <mergeCell ref="BB34:BH34"/>
    <mergeCell ref="BB35:BH35"/>
    <mergeCell ref="BB37:BI37"/>
    <mergeCell ref="BB39:BH39"/>
    <mergeCell ref="BI39:BI41"/>
    <mergeCell ref="BB40:BB41"/>
    <mergeCell ref="BC40:BC41"/>
    <mergeCell ref="BD40:BE40"/>
    <mergeCell ref="BF40:BH40"/>
    <mergeCell ref="BG41:BH41"/>
    <mergeCell ref="BG42:BH42"/>
    <mergeCell ref="BF49:BF50"/>
    <mergeCell ref="BG49:BG50"/>
    <mergeCell ref="BH49:BH50"/>
    <mergeCell ref="BI49:BI50"/>
    <mergeCell ref="BN8:BN9"/>
    <mergeCell ref="BO8:BO9"/>
    <mergeCell ref="BP8:BP9"/>
    <mergeCell ref="BQ8:BQ9"/>
    <mergeCell ref="BJ29:BP29"/>
    <mergeCell ref="BJ30:BP30"/>
    <mergeCell ref="BJ31:BP31"/>
    <mergeCell ref="BJ32:BP32"/>
    <mergeCell ref="BJ34:BP34"/>
    <mergeCell ref="BJ35:BP35"/>
    <mergeCell ref="BJ37:BQ37"/>
    <mergeCell ref="BJ39:BP39"/>
    <mergeCell ref="BQ39:BQ41"/>
    <mergeCell ref="BJ40:BJ41"/>
    <mergeCell ref="BK40:BK41"/>
    <mergeCell ref="BL40:BM40"/>
    <mergeCell ref="BN40:BP40"/>
    <mergeCell ref="BO41:BP41"/>
    <mergeCell ref="BO42:BP42"/>
    <mergeCell ref="BN49:BN50"/>
    <mergeCell ref="BO49:BO50"/>
    <mergeCell ref="BP49:BP50"/>
    <mergeCell ref="BQ49:BQ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AO9 AO50 AW9 AW50 BE9 BE50 BM9 BM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BQ327729 AK393265:BQ393265 AK49 AQ49 AS49 AY49 BA49 BG49 BI49 BO49 BQ49 AK524337:BQ524337 AK8 AQ8 AS8 AY8 BA8 BG8 BI8 BO8 BQ8 AK589873:BQ589873 AK655409:BQ655409 AK17 AK720945:BQ720945 AK786481:BQ786481 AK852017:BQ852017 AK917553:BQ917553 AK983089:BQ983089 AK65585:BQ65585 AK131121:BQ131121 AI49 AK458801:BQ458801 AI8 AC8 AA8 AI17 AK196657:BQ196657 AA49 AC49 AK262193:BQ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AP8 AR8 AP49 AR49 AX8 AZ8 AX49 AZ49 BF8 BH8 BF49 BH49 BN8 BP8 BN49 BP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BS65579:BS65586 BS131115:BS131122 BS196651:BS196658 BS262187:BS262194 BS327723:BS327730 BS393259:BS393266 BS458795:BS458802 BS524331:BS524338 BS589867:BS589874 BS655403:BS655410 BS720939:BS720946 BS786475:BS786482 BS852011:BS852018 BS917547:BS917554 BS983083:BS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BS131129 S196659:BS196665 S262195:BS262201 S327731:BS327737 S393267:BS393273 S458803:BS458809 S524339:BS524345 S589875:BS589881 S655411:BS655417 S720947:BS720953 S786483:BS786489 S852019:BS852025 S917555:BS917561 S983091:BS983097 S65587:BS65593"/>
    <dataValidation type="list" allowBlank="1" showInputMessage="1" errorTitle="Ошибка" error="Выберите значение из списка" prompt="Выберите значение из списка" sqref="V983088:BR983088 V65584:BR65584 V131120:BR131120 V196656:BR196656 V262192:BR262192 V327728:BR327728 V393264:BR393264 V458800:BR458800 V524336:BR524336 V589872:BR589872 V655408:BR655408 V720944:BR720944 V786480:BR786480 V852016:BR852016 V917552:BR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506B55-FDD6-5C57-6719-0.5753A21F}"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405</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406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407</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408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409</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410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411</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412</v>
      </c>
      <c r="M6" s="1637"/>
      <c r="P6" s="2259">
        <v>1</v>
      </c>
      <c r="Q6" s="1956"/>
      <c r="R6" s="358"/>
      <c r="S6" s="1960">
        <f>$I6</f>
      </c>
      <c r="T6" s="287" t="s">
        <v>413</v>
      </c>
      <c r="U6" s="302"/>
      <c r="V6" s="2247"/>
      <c r="W6" s="2248"/>
      <c r="X6" s="2248"/>
      <c r="Y6" s="2248"/>
      <c r="Z6" s="2248"/>
      <c r="AA6" s="2248"/>
      <c r="AB6" s="2248"/>
      <c r="AC6" s="2249"/>
      <c r="AD6" s="2247"/>
      <c r="AE6" s="2248"/>
      <c r="AF6" s="2248"/>
      <c r="AG6" s="2248"/>
      <c r="AH6" s="2248"/>
      <c r="AI6" s="2248"/>
      <c r="AJ6" s="2248"/>
      <c r="AK6" s="2248"/>
      <c r="AL6" s="2249"/>
      <c r="AM6" s="1260" t="s">
        <v>414</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415</v>
      </c>
      <c r="M7" s="1637"/>
      <c r="N7" s="1633"/>
      <c r="P7" s="2259"/>
      <c r="Q7" s="2259">
        <v>1</v>
      </c>
      <c r="R7" s="359"/>
      <c r="S7" s="1960">
        <f>$J7</f>
      </c>
      <c r="T7" s="288" t="s">
        <v>416</v>
      </c>
      <c r="U7" s="302"/>
      <c r="V7" s="2247"/>
      <c r="W7" s="2248"/>
      <c r="X7" s="2248"/>
      <c r="Y7" s="2248"/>
      <c r="Z7" s="2248"/>
      <c r="AA7" s="2248"/>
      <c r="AB7" s="2248"/>
      <c r="AC7" s="2249"/>
      <c r="AD7" s="2247"/>
      <c r="AE7" s="2248"/>
      <c r="AF7" s="2248"/>
      <c r="AG7" s="2248"/>
      <c r="AH7" s="2248"/>
      <c r="AI7" s="2248"/>
      <c r="AJ7" s="2248"/>
      <c r="AK7" s="2248"/>
      <c r="AL7" s="2249"/>
      <c r="AM7" s="1260" t="s">
        <v>417</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418</v>
      </c>
      <c r="M8" s="1637"/>
      <c r="N8" s="1633"/>
      <c r="O8" s="1633"/>
      <c r="P8" s="2259"/>
      <c r="Q8" s="2259"/>
      <c r="R8" s="359">
        <v>1</v>
      </c>
      <c r="S8" s="1960">
        <f>$K8</f>
      </c>
      <c r="T8" s="1349"/>
      <c r="U8" s="302"/>
      <c r="V8" s="753"/>
      <c r="W8" s="327"/>
      <c r="X8" s="753"/>
      <c r="Y8" s="1259"/>
      <c r="Z8" s="2267"/>
      <c r="AA8" s="2109" t="s">
        <v>68</v>
      </c>
      <c r="AB8" s="2267"/>
      <c r="AC8" s="2109" t="s">
        <v>68</v>
      </c>
      <c r="AD8" s="753"/>
      <c r="AE8" s="327"/>
      <c r="AF8" s="753"/>
      <c r="AG8" s="1259"/>
      <c r="AH8" s="2267"/>
      <c r="AI8" s="2109" t="s">
        <v>68</v>
      </c>
      <c r="AJ8" s="2267"/>
      <c r="AK8" s="2109" t="s">
        <v>68</v>
      </c>
      <c r="AL8" s="327"/>
      <c r="AM8" s="2255" t="s">
        <v>419</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420</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421</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422</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172</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173</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174</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68</v>
      </c>
      <c r="AJ17" s="2269"/>
      <c r="AK17" s="2270" t="s">
        <v>68</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423</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424</v>
      </c>
      <c r="P22" s="1364"/>
      <c r="Q22" s="1373"/>
      <c r="R22" s="1373"/>
      <c r="S22" s="731"/>
      <c r="T22" s="1368" t="s">
        <v>425</v>
      </c>
      <c r="AA22" s="597" t="s">
        <v>426</v>
      </c>
      <c r="AC22" s="597" t="s">
        <v>427</v>
      </c>
      <c r="AD22" s="1368" t="s">
        <v>425</v>
      </c>
      <c r="AI22" s="597" t="s">
        <v>428</v>
      </c>
      <c r="AK22" s="597" t="s">
        <v>427</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43</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429</v>
      </c>
      <c r="T30" s="2252"/>
      <c r="U30" s="1374"/>
      <c r="V30" s="2266" t="str">
        <f>IF(TITLE_DATE_PR_CHANGE="",IF(TITLE_DATE_PR="","",TITLE_DATE_PR),TITLE_DATE_PR_CHANGE)</f>
        <v>46141.35650462963</v>
      </c>
      <c r="W30" s="2266"/>
      <c r="X30" s="2266"/>
      <c r="Y30" s="2266"/>
      <c r="Z30" s="2266"/>
      <c r="AA30" s="2266"/>
      <c r="AB30" s="2266"/>
      <c r="AC30" s="1637"/>
      <c r="AD30" s="2266" t="str">
        <f>IF(TITLE_DATE_PR_CHANGE="",IF(TITLE_DATE_PR="","",TITLE_DATE_PR),TITLE_DATE_PR_CHANGE)</f>
        <v>46141.35650462963</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430</v>
      </c>
      <c r="T31" s="2252"/>
      <c r="U31" s="1374"/>
      <c r="V31" s="2253" t="str">
        <f>IF(TITLE_NUMBER_PR_CHANGE="",IF(TITLE_NUMBER_PR="","",TITLE_NUMBER_PR),TITLE_NUMBER_PR_CHANGE)</f>
        <v>вх. О-1106 (исх. №382 от 29.04.2026)</v>
      </c>
      <c r="W31" s="2253"/>
      <c r="X31" s="2253"/>
      <c r="Y31" s="2253"/>
      <c r="Z31" s="2253"/>
      <c r="AA31" s="2253"/>
      <c r="AB31" s="2253"/>
      <c r="AC31" s="1637"/>
      <c r="AD31" s="2253" t="str">
        <f>IF(TITLE_NUMBER_PR_CHANGE="",IF(TITLE_NUMBER_PR="","",TITLE_NUMBER_PR),TITLE_NUMBER_PR_CHANGE)</f>
        <v>вх. О-1106 (исх. №382 от 29.04.2026)</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44</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431</v>
      </c>
      <c r="T34" s="2252"/>
      <c r="U34" s="1374"/>
      <c r="V34" s="2266" t="str">
        <f>IF(TITLE_DATE_PR_CHANGE="",IF(TITLE_DATE_PR="","",TITLE_DATE_PR),TITLE_DATE_PR_CHANGE)</f>
        <v>46141.35650462963</v>
      </c>
      <c r="W34" s="2266"/>
      <c r="X34" s="2266"/>
      <c r="Y34" s="2266"/>
      <c r="Z34" s="2266"/>
      <c r="AA34" s="2266"/>
      <c r="AB34" s="2266"/>
      <c r="AC34" s="1637"/>
      <c r="AD34" s="2266" t="str">
        <f>IF(TITLE_DATE_PR_CHANGE="",IF(TITLE_DATE_PR="","",TITLE_DATE_PR),TITLE_DATE_PR_CHANGE)</f>
        <v>46141.35650462963</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432</v>
      </c>
      <c r="T35" s="2252"/>
      <c r="U35" s="1374"/>
      <c r="V35" s="2253" t="str">
        <f>IF(TITLE_NUMBER_PR_CHANGE="",IF(TITLE_NUMBER_PR="","",TITLE_NUMBER_PR),TITLE_NUMBER_PR_CHANGE)</f>
        <v>вх. О-1106 (исх. №382 от 29.04.2026)</v>
      </c>
      <c r="W35" s="2253"/>
      <c r="X35" s="2253"/>
      <c r="Y35" s="2253"/>
      <c r="Z35" s="2253"/>
      <c r="AA35" s="2253"/>
      <c r="AB35" s="2253"/>
      <c r="AC35" s="1637"/>
      <c r="AD35" s="2253" t="str">
        <f>IF(TITLE_NUMBER_PR_CHANGE="",IF(TITLE_NUMBER_PR="","",TITLE_NUMBER_PR),TITLE_NUMBER_PR_CHANGE)</f>
        <v>вх. О-1106 (исх. №382 от 29.04.2026)</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433</v>
      </c>
      <c r="AD36" s="1637"/>
      <c r="AE36" s="1637"/>
      <c r="AF36" s="1637"/>
      <c r="AG36" s="1637"/>
      <c r="AH36" s="1637"/>
      <c r="AI36" s="1637"/>
      <c r="AJ36" s="1637"/>
      <c r="AK36" s="1644" t="s">
        <v>433</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310</v>
      </c>
      <c r="AS38" s="1633">
        <v>14</v>
      </c>
    </row>
    <row customHeight="1" ht="15">
      <c r="Q39" s="378"/>
      <c r="R39" s="378"/>
      <c r="S39" s="2275" t="s">
        <v>90</v>
      </c>
      <c r="T39" s="2211" t="s">
        <v>434</v>
      </c>
      <c r="U39" s="339"/>
      <c r="V39" s="2276" t="s">
        <v>435</v>
      </c>
      <c r="W39" s="2277"/>
      <c r="X39" s="2277"/>
      <c r="Y39" s="2277"/>
      <c r="Z39" s="2277"/>
      <c r="AA39" s="2277"/>
      <c r="AB39" s="2278"/>
      <c r="AC39" s="2279" t="s">
        <v>436</v>
      </c>
      <c r="AD39" s="2276" t="s">
        <v>435</v>
      </c>
      <c r="AE39" s="2277"/>
      <c r="AF39" s="2277"/>
      <c r="AG39" s="2277"/>
      <c r="AH39" s="2277"/>
      <c r="AI39" s="2277"/>
      <c r="AJ39" s="2278"/>
      <c r="AK39" s="2279" t="s">
        <v>437</v>
      </c>
      <c r="AL39" s="2282" t="s">
        <v>438</v>
      </c>
      <c r="AM39" s="2129"/>
      <c r="AS39" s="1633">
        <v>14</v>
      </c>
    </row>
    <row customHeight="1" ht="36">
      <c r="Q40" s="378"/>
      <c r="R40" s="378"/>
      <c r="S40" s="2275"/>
      <c r="T40" s="2211"/>
      <c r="U40" s="1033"/>
      <c r="V40" s="2262" t="s">
        <v>439</v>
      </c>
      <c r="W40" s="2285" t="s">
        <v>440</v>
      </c>
      <c r="X40" s="2264" t="s">
        <v>441</v>
      </c>
      <c r="Y40" s="2265"/>
      <c r="Z40" s="2264" t="s">
        <v>455</v>
      </c>
      <c r="AA40" s="2271"/>
      <c r="AB40" s="2265"/>
      <c r="AC40" s="2280"/>
      <c r="AD40" s="2262" t="s">
        <v>439</v>
      </c>
      <c r="AE40" s="2285" t="s">
        <v>440</v>
      </c>
      <c r="AF40" s="2264" t="s">
        <v>441</v>
      </c>
      <c r="AG40" s="2265"/>
      <c r="AH40" s="2264" t="s">
        <v>442</v>
      </c>
      <c r="AI40" s="2271"/>
      <c r="AJ40" s="2265"/>
      <c r="AK40" s="2280"/>
      <c r="AL40" s="2283"/>
      <c r="AM40" s="2129"/>
      <c r="AS40" s="1633">
        <v>34</v>
      </c>
    </row>
    <row customHeight="1" ht="36">
      <c r="A41" s="1268"/>
      <c r="B41" s="1268" t="s">
        <v>137</v>
      </c>
      <c r="C41" s="1268" t="s">
        <v>138</v>
      </c>
      <c r="D41" s="1268" t="s">
        <v>139</v>
      </c>
      <c r="E41" s="1312" t="s">
        <v>443</v>
      </c>
      <c r="F41" s="1312" t="s">
        <v>444</v>
      </c>
      <c r="G41" s="1312" t="s">
        <v>445</v>
      </c>
      <c r="H41" s="1312" t="s">
        <v>446</v>
      </c>
      <c r="I41" s="1312" t="s">
        <v>447</v>
      </c>
      <c r="J41" s="1312" t="s">
        <v>448</v>
      </c>
      <c r="K41" s="1312" t="s">
        <v>449</v>
      </c>
      <c r="L41" s="1312" t="s">
        <v>424</v>
      </c>
      <c r="Q41" s="378"/>
      <c r="R41" s="378"/>
      <c r="S41" s="2275"/>
      <c r="T41" s="2211"/>
      <c r="U41" s="304"/>
      <c r="V41" s="2263"/>
      <c r="W41" s="2286"/>
      <c r="X41" s="1940" t="s">
        <v>450</v>
      </c>
      <c r="Y41" s="1940" t="s">
        <v>451</v>
      </c>
      <c r="Z41" s="1940" t="s">
        <v>452</v>
      </c>
      <c r="AA41" s="2272" t="s">
        <v>453</v>
      </c>
      <c r="AB41" s="2273"/>
      <c r="AC41" s="2281"/>
      <c r="AD41" s="2263"/>
      <c r="AE41" s="2286"/>
      <c r="AF41" s="1940" t="s">
        <v>450</v>
      </c>
      <c r="AG41" s="1940" t="s">
        <v>451</v>
      </c>
      <c r="AH41" s="1940" t="s">
        <v>452</v>
      </c>
      <c r="AI41" s="2272" t="s">
        <v>453</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111</v>
      </c>
      <c r="T42" s="1257" t="s">
        <v>112</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221</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221</v>
      </c>
      <c r="B44" s="1269" t="s">
        <v>222</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406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407</v>
      </c>
      <c r="AO44" s="1626"/>
      <c r="AP44" s="1626" t="str">
        <f>IF(T44="","",T44)</f>
        <v>Территория действия тарифа</v>
      </c>
      <c r="AQ44" s="1626"/>
      <c r="AR44" s="1626"/>
      <c r="AS44" s="1633">
        <v>21</v>
      </c>
    </row>
    <row customHeight="1" ht="24">
      <c r="A45" s="1269" t="s">
        <v>221</v>
      </c>
      <c r="B45" s="1269" t="s">
        <v>222</v>
      </c>
      <c r="C45" s="1269" t="s">
        <v>223</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408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409</v>
      </c>
      <c r="AO45" s="1626"/>
      <c r="AP45" s="1626" t="str">
        <f>IF(T45="","",T45)</f>
        <v>Наименование системы теплоснабжения </v>
      </c>
      <c r="AQ45" s="1626"/>
      <c r="AR45" s="1626"/>
      <c r="AS45" s="1633">
        <v>23</v>
      </c>
    </row>
    <row customHeight="1" ht="21.75">
      <c r="A46" s="1269" t="s">
        <v>221</v>
      </c>
      <c r="B46" s="1269" t="s">
        <v>222</v>
      </c>
      <c r="C46" s="1269" t="s">
        <v>223</v>
      </c>
      <c r="D46" s="1269" t="s">
        <v>224</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410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411</v>
      </c>
      <c r="AO46" s="1626"/>
      <c r="AP46" s="1626" t="str">
        <f>IF(T46="","",T46)</f>
        <v>Источник тепловой энергии  </v>
      </c>
      <c r="AQ46" s="1626"/>
      <c r="AR46" s="1626"/>
      <c r="AS46" s="1633">
        <v>21</v>
      </c>
    </row>
    <row customHeight="1" ht="49.5">
      <c r="A47" s="1269" t="s">
        <v>221</v>
      </c>
      <c r="B47" s="1269" t="s">
        <v>222</v>
      </c>
      <c r="C47" s="1269" t="s">
        <v>223</v>
      </c>
      <c r="D47" s="1269" t="s">
        <v>224</v>
      </c>
      <c r="E47" s="2292"/>
      <c r="F47" s="2292"/>
      <c r="G47" s="2292"/>
      <c r="H47" s="2292"/>
      <c r="I47" s="2129" t="str">
        <f>S46&amp;".1"</f>
        <v>....1</v>
      </c>
      <c r="J47" s="1269"/>
      <c r="K47" s="1269"/>
      <c r="L47" s="1312" t="s">
        <v>412</v>
      </c>
      <c r="P47" s="2259">
        <v>1</v>
      </c>
      <c r="Q47" s="1956"/>
      <c r="R47" s="358"/>
      <c r="S47" s="1960" t="str">
        <f>$I47</f>
        <v>....1</v>
      </c>
      <c r="T47" s="287" t="s">
        <v>413</v>
      </c>
      <c r="U47" s="302"/>
      <c r="V47" s="2247"/>
      <c r="W47" s="2248"/>
      <c r="X47" s="2248"/>
      <c r="Y47" s="2248"/>
      <c r="Z47" s="2248"/>
      <c r="AA47" s="2248"/>
      <c r="AB47" s="2248"/>
      <c r="AC47" s="2249"/>
      <c r="AD47" s="2247"/>
      <c r="AE47" s="2248"/>
      <c r="AF47" s="2248"/>
      <c r="AG47" s="2248"/>
      <c r="AH47" s="2248"/>
      <c r="AI47" s="2248"/>
      <c r="AJ47" s="2248"/>
      <c r="AK47" s="2248"/>
      <c r="AL47" s="2249"/>
      <c r="AM47" s="1260" t="s">
        <v>414</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221</v>
      </c>
      <c r="B48" s="1269" t="s">
        <v>222</v>
      </c>
      <c r="C48" s="1269" t="s">
        <v>223</v>
      </c>
      <c r="D48" s="1269" t="s">
        <v>224</v>
      </c>
      <c r="E48" s="2292"/>
      <c r="F48" s="2292"/>
      <c r="G48" s="2292"/>
      <c r="H48" s="2292"/>
      <c r="I48" s="2103"/>
      <c r="J48" s="2129" t="str">
        <f>I47&amp;".1"</f>
        <v>....1.1</v>
      </c>
      <c r="K48" s="1269"/>
      <c r="L48" s="1312" t="s">
        <v>415</v>
      </c>
      <c r="P48" s="2259"/>
      <c r="Q48" s="2259">
        <v>1</v>
      </c>
      <c r="R48" s="359"/>
      <c r="S48" s="1960" t="str">
        <f>$J48</f>
        <v>....1.1</v>
      </c>
      <c r="T48" s="288" t="s">
        <v>416</v>
      </c>
      <c r="U48" s="302"/>
      <c r="V48" s="2247"/>
      <c r="W48" s="2248"/>
      <c r="X48" s="2248"/>
      <c r="Y48" s="2248"/>
      <c r="Z48" s="2248"/>
      <c r="AA48" s="2248"/>
      <c r="AB48" s="2248"/>
      <c r="AC48" s="2249"/>
      <c r="AD48" s="2247"/>
      <c r="AE48" s="2248"/>
      <c r="AF48" s="2248"/>
      <c r="AG48" s="2248"/>
      <c r="AH48" s="2248"/>
      <c r="AI48" s="2248"/>
      <c r="AJ48" s="2248"/>
      <c r="AK48" s="2248"/>
      <c r="AL48" s="2249"/>
      <c r="AM48" s="1260" t="s">
        <v>417</v>
      </c>
      <c r="AO48" s="1626"/>
      <c r="AP48" s="1626" t="str">
        <f>IF(T48="","",T48)</f>
        <v>Группа потребителей</v>
      </c>
      <c r="AQ48" s="1626"/>
      <c r="AR48" s="1626"/>
      <c r="AS48" s="1633">
        <v>21</v>
      </c>
    </row>
    <row customHeight="1" ht="21.75">
      <c r="A49" s="1269" t="s">
        <v>221</v>
      </c>
      <c r="B49" s="1269" t="s">
        <v>222</v>
      </c>
      <c r="C49" s="1269" t="s">
        <v>223</v>
      </c>
      <c r="D49" s="1269" t="s">
        <v>224</v>
      </c>
      <c r="E49" s="2292"/>
      <c r="F49" s="2292"/>
      <c r="G49" s="2292"/>
      <c r="H49" s="2292"/>
      <c r="I49" s="2103"/>
      <c r="J49" s="2103"/>
      <c r="K49" s="2129" t="str">
        <f>J48&amp;".1"</f>
        <v>....1.1.1</v>
      </c>
      <c r="L49" s="1312" t="s">
        <v>418</v>
      </c>
      <c r="P49" s="2259"/>
      <c r="Q49" s="2259"/>
      <c r="R49" s="359">
        <v>1</v>
      </c>
      <c r="S49" s="1960" t="str">
        <f>$K49</f>
        <v>....1.1.1</v>
      </c>
      <c r="T49" s="1349"/>
      <c r="U49" s="302"/>
      <c r="V49" s="753"/>
      <c r="W49" s="327"/>
      <c r="X49" s="753"/>
      <c r="Y49" s="1259"/>
      <c r="Z49" s="2267"/>
      <c r="AA49" s="2109" t="s">
        <v>68</v>
      </c>
      <c r="AB49" s="2267"/>
      <c r="AC49" s="2109" t="s">
        <v>68</v>
      </c>
      <c r="AD49" s="753"/>
      <c r="AE49" s="327"/>
      <c r="AF49" s="753"/>
      <c r="AG49" s="1259"/>
      <c r="AH49" s="2267"/>
      <c r="AI49" s="2109" t="s">
        <v>68</v>
      </c>
      <c r="AJ49" s="2289"/>
      <c r="AK49" s="2109" t="s">
        <v>68</v>
      </c>
      <c r="AL49" s="1350"/>
      <c r="AM49" s="2255" t="s">
        <v>419</v>
      </c>
      <c r="AN49" s="1638">
        <f>STRCHECKDATE(V50:AL50)</f>
      </c>
      <c r="AO49" s="1626"/>
      <c r="AP49" s="1626" t="str">
        <f>IF(T49="","",T49)</f>
        <v/>
      </c>
      <c r="AQ49" s="1626"/>
      <c r="AR49" s="1626"/>
      <c r="AS49" s="1633">
        <v>21</v>
      </c>
    </row>
    <row customHeight="1" ht="0.75">
      <c r="A50" s="1269" t="s">
        <v>221</v>
      </c>
      <c r="B50" s="1269" t="s">
        <v>222</v>
      </c>
      <c r="C50" s="1269" t="s">
        <v>223</v>
      </c>
      <c r="D50" s="1269" t="s">
        <v>224</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221</v>
      </c>
      <c r="B51" s="1269" t="s">
        <v>222</v>
      </c>
      <c r="C51" s="1269" t="s">
        <v>223</v>
      </c>
      <c r="D51" s="1269" t="s">
        <v>224</v>
      </c>
      <c r="E51" s="2292"/>
      <c r="F51" s="2292"/>
      <c r="G51" s="2292"/>
      <c r="H51" s="2292"/>
      <c r="I51" s="2103"/>
      <c r="J51" s="2129"/>
      <c r="K51" s="1269"/>
      <c r="L51" s="1312"/>
      <c r="P51" s="2259"/>
      <c r="Q51" s="2259"/>
      <c r="R51" s="358"/>
      <c r="S51" s="1280"/>
      <c r="T51" s="290" t="s">
        <v>420</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221</v>
      </c>
      <c r="B52" s="1269" t="s">
        <v>222</v>
      </c>
      <c r="C52" s="1269" t="s">
        <v>223</v>
      </c>
      <c r="D52" s="1269" t="s">
        <v>224</v>
      </c>
      <c r="E52" s="2292"/>
      <c r="F52" s="2292"/>
      <c r="G52" s="2292"/>
      <c r="H52" s="2292"/>
      <c r="I52" s="2129"/>
      <c r="J52" s="1269"/>
      <c r="K52" s="1269"/>
      <c r="L52" s="1312"/>
      <c r="P52" s="2259"/>
      <c r="Q52" s="1956"/>
      <c r="R52" s="358"/>
      <c r="S52" s="1280"/>
      <c r="T52" s="289" t="s">
        <v>421</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221</v>
      </c>
      <c r="B53" s="1269" t="s">
        <v>222</v>
      </c>
      <c r="C53" s="1269" t="s">
        <v>223</v>
      </c>
      <c r="D53" s="1269" t="s">
        <v>224</v>
      </c>
      <c r="E53" s="2292"/>
      <c r="F53" s="2292"/>
      <c r="G53" s="2292"/>
      <c r="H53" s="2291"/>
      <c r="I53" s="1269"/>
      <c r="J53" s="1269"/>
      <c r="K53" s="1269"/>
      <c r="L53" s="1312"/>
      <c r="M53" s="1612"/>
      <c r="N53" s="1612"/>
      <c r="O53" s="1637"/>
      <c r="P53" s="362"/>
      <c r="Q53" s="377"/>
      <c r="R53" s="357"/>
      <c r="S53" s="1280"/>
      <c r="T53" s="367" t="s">
        <v>422</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221</v>
      </c>
      <c r="B54" s="1377" t="s">
        <v>222</v>
      </c>
      <c r="C54" s="1377" t="s">
        <v>223</v>
      </c>
      <c r="D54" s="1376"/>
      <c r="E54" s="2292"/>
      <c r="F54" s="2292"/>
      <c r="G54" s="2291"/>
      <c r="H54" s="1376"/>
      <c r="I54" s="1376"/>
      <c r="J54" s="1376"/>
      <c r="K54" s="1376"/>
      <c r="L54" s="1379"/>
      <c r="M54" s="1380"/>
      <c r="N54" s="1380"/>
      <c r="O54" s="353"/>
      <c r="P54" s="1318"/>
      <c r="Q54" s="1319"/>
      <c r="R54" s="1318"/>
      <c r="S54" s="1324"/>
      <c r="T54" s="1327" t="s">
        <v>172</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221</v>
      </c>
      <c r="B55" s="1377" t="s">
        <v>222</v>
      </c>
      <c r="C55" s="1376"/>
      <c r="D55" s="1376"/>
      <c r="E55" s="2292"/>
      <c r="F55" s="2291"/>
      <c r="G55" s="1376"/>
      <c r="H55" s="1376"/>
      <c r="I55" s="1376"/>
      <c r="J55" s="1376"/>
      <c r="K55" s="1376"/>
      <c r="L55" s="1379"/>
      <c r="M55" s="1381"/>
      <c r="N55" s="1381"/>
      <c r="O55" s="353"/>
      <c r="P55" s="1318"/>
      <c r="Q55" s="1319"/>
      <c r="R55" s="1318"/>
      <c r="S55" s="1324"/>
      <c r="T55" s="1327" t="s">
        <v>173</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221</v>
      </c>
      <c r="B56" s="1377"/>
      <c r="C56" s="1377"/>
      <c r="D56" s="1377"/>
      <c r="E56" s="2291"/>
      <c r="F56" s="1377"/>
      <c r="G56" s="1377"/>
      <c r="H56" s="1377"/>
      <c r="I56" s="1377"/>
      <c r="J56" s="1377"/>
      <c r="K56" s="1377"/>
      <c r="L56" s="1383"/>
      <c r="M56" s="1381"/>
      <c r="N56" s="1381"/>
      <c r="O56" s="353"/>
      <c r="P56" s="382"/>
      <c r="Q56" s="1346"/>
      <c r="R56" s="382"/>
      <c r="S56" s="1324"/>
      <c r="T56" s="1327" t="s">
        <v>174</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175</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84</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4F571F-ACA9-59D5-16CB-0.F5F098AA}"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405</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406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407</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408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409</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410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411</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412</v>
      </c>
      <c r="M6" s="1637"/>
      <c r="P6" s="2259">
        <v>1</v>
      </c>
      <c r="Q6" s="1956"/>
      <c r="R6" s="358"/>
      <c r="S6" s="1960">
        <f>$I6</f>
      </c>
      <c r="T6" s="287" t="s">
        <v>413</v>
      </c>
      <c r="U6" s="302"/>
      <c r="V6" s="2247"/>
      <c r="W6" s="2248"/>
      <c r="X6" s="2248"/>
      <c r="Y6" s="2248"/>
      <c r="Z6" s="2248"/>
      <c r="AA6" s="2248"/>
      <c r="AB6" s="2248"/>
      <c r="AC6" s="2249"/>
      <c r="AD6" s="2247"/>
      <c r="AE6" s="2248"/>
      <c r="AF6" s="2248"/>
      <c r="AG6" s="2248"/>
      <c r="AH6" s="2248"/>
      <c r="AI6" s="2248"/>
      <c r="AJ6" s="2248"/>
      <c r="AK6" s="2248"/>
      <c r="AL6" s="2249"/>
      <c r="AM6" s="1260" t="s">
        <v>414</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415</v>
      </c>
      <c r="M7" s="1637"/>
      <c r="N7" s="1633"/>
      <c r="P7" s="2259"/>
      <c r="Q7" s="2259">
        <v>1</v>
      </c>
      <c r="R7" s="359"/>
      <c r="S7" s="1960">
        <f>$J7</f>
      </c>
      <c r="T7" s="288" t="s">
        <v>416</v>
      </c>
      <c r="U7" s="302"/>
      <c r="V7" s="2247"/>
      <c r="W7" s="2248"/>
      <c r="X7" s="2248"/>
      <c r="Y7" s="2248"/>
      <c r="Z7" s="2248"/>
      <c r="AA7" s="2248"/>
      <c r="AB7" s="2248"/>
      <c r="AC7" s="2249"/>
      <c r="AD7" s="2247"/>
      <c r="AE7" s="2248"/>
      <c r="AF7" s="2248"/>
      <c r="AG7" s="2248"/>
      <c r="AH7" s="2248"/>
      <c r="AI7" s="2248"/>
      <c r="AJ7" s="2248"/>
      <c r="AK7" s="2248"/>
      <c r="AL7" s="2249"/>
      <c r="AM7" s="1260" t="s">
        <v>417</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418</v>
      </c>
      <c r="M8" s="1637"/>
      <c r="N8" s="1633"/>
      <c r="O8" s="1633"/>
      <c r="P8" s="2259"/>
      <c r="Q8" s="2259"/>
      <c r="R8" s="359">
        <v>1</v>
      </c>
      <c r="S8" s="1960">
        <f>$K8</f>
      </c>
      <c r="T8" s="1349"/>
      <c r="U8" s="302"/>
      <c r="V8" s="753"/>
      <c r="W8" s="327"/>
      <c r="X8" s="753"/>
      <c r="Y8" s="1259"/>
      <c r="Z8" s="2267"/>
      <c r="AA8" s="2109" t="s">
        <v>68</v>
      </c>
      <c r="AB8" s="2267"/>
      <c r="AC8" s="2109" t="s">
        <v>68</v>
      </c>
      <c r="AD8" s="753"/>
      <c r="AE8" s="327"/>
      <c r="AF8" s="753"/>
      <c r="AG8" s="1259"/>
      <c r="AH8" s="2267"/>
      <c r="AI8" s="2109" t="s">
        <v>68</v>
      </c>
      <c r="AJ8" s="2267"/>
      <c r="AK8" s="2109" t="s">
        <v>68</v>
      </c>
      <c r="AL8" s="327"/>
      <c r="AM8" s="2255" t="s">
        <v>419</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420</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421</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422</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172</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173</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174</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68</v>
      </c>
      <c r="AJ17" s="2269"/>
      <c r="AK17" s="2270" t="s">
        <v>68</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423</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424</v>
      </c>
      <c r="P22" s="1364"/>
      <c r="Q22" s="1373"/>
      <c r="R22" s="1373"/>
      <c r="S22" s="731"/>
      <c r="T22" s="1368" t="s">
        <v>425</v>
      </c>
      <c r="AA22" s="597" t="s">
        <v>426</v>
      </c>
      <c r="AC22" s="597" t="s">
        <v>427</v>
      </c>
      <c r="AD22" s="1368" t="s">
        <v>425</v>
      </c>
      <c r="AI22" s="597" t="s">
        <v>428</v>
      </c>
      <c r="AK22" s="597" t="s">
        <v>427</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43</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429</v>
      </c>
      <c r="T30" s="2252"/>
      <c r="U30" s="1374"/>
      <c r="V30" s="2266" t="str">
        <f>IF(TITLE_DATE_PR_CHANGE="",IF(TITLE_DATE_PR="","",TITLE_DATE_PR),TITLE_DATE_PR_CHANGE)</f>
        <v>46141.35650462963</v>
      </c>
      <c r="W30" s="2266"/>
      <c r="X30" s="2266"/>
      <c r="Y30" s="2266"/>
      <c r="Z30" s="2266"/>
      <c r="AA30" s="2266"/>
      <c r="AB30" s="2266"/>
      <c r="AC30" s="1637"/>
      <c r="AD30" s="2266" t="str">
        <f>IF(TITLE_DATE_PR_CHANGE="",IF(TITLE_DATE_PR="","",TITLE_DATE_PR),TITLE_DATE_PR_CHANGE)</f>
        <v>46141.35650462963</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430</v>
      </c>
      <c r="T31" s="2252"/>
      <c r="U31" s="1374"/>
      <c r="V31" s="2253" t="str">
        <f>IF(TITLE_NUMBER_PR_CHANGE="",IF(TITLE_NUMBER_PR="","",TITLE_NUMBER_PR),TITLE_NUMBER_PR_CHANGE)</f>
        <v>вх. О-1106 (исх. №382 от 29.04.2026)</v>
      </c>
      <c r="W31" s="2253"/>
      <c r="X31" s="2253"/>
      <c r="Y31" s="2253"/>
      <c r="Z31" s="2253"/>
      <c r="AA31" s="2253"/>
      <c r="AB31" s="2253"/>
      <c r="AC31" s="1637"/>
      <c r="AD31" s="2253" t="str">
        <f>IF(TITLE_NUMBER_PR_CHANGE="",IF(TITLE_NUMBER_PR="","",TITLE_NUMBER_PR),TITLE_NUMBER_PR_CHANGE)</f>
        <v>вх. О-1106 (исх. №382 от 29.04.2026)</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44</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431</v>
      </c>
      <c r="T34" s="2252"/>
      <c r="U34" s="1374"/>
      <c r="V34" s="2266" t="str">
        <f>IF(TITLE_DATE_PR_CHANGE="",IF(TITLE_DATE_PR="","",TITLE_DATE_PR),TITLE_DATE_PR_CHANGE)</f>
        <v>46141.35650462963</v>
      </c>
      <c r="W34" s="2266"/>
      <c r="X34" s="2266"/>
      <c r="Y34" s="2266"/>
      <c r="Z34" s="2266"/>
      <c r="AA34" s="2266"/>
      <c r="AB34" s="2266"/>
      <c r="AC34" s="1637"/>
      <c r="AD34" s="2266" t="str">
        <f>IF(TITLE_DATE_PR_CHANGE="",IF(TITLE_DATE_PR="","",TITLE_DATE_PR),TITLE_DATE_PR_CHANGE)</f>
        <v>46141.35650462963</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432</v>
      </c>
      <c r="T35" s="2252"/>
      <c r="U35" s="1374"/>
      <c r="V35" s="2253" t="str">
        <f>IF(TITLE_NUMBER_PR_CHANGE="",IF(TITLE_NUMBER_PR="","",TITLE_NUMBER_PR),TITLE_NUMBER_PR_CHANGE)</f>
        <v>вх. О-1106 (исх. №382 от 29.04.2026)</v>
      </c>
      <c r="W35" s="2253"/>
      <c r="X35" s="2253"/>
      <c r="Y35" s="2253"/>
      <c r="Z35" s="2253"/>
      <c r="AA35" s="2253"/>
      <c r="AB35" s="2253"/>
      <c r="AC35" s="1637"/>
      <c r="AD35" s="2253" t="str">
        <f>IF(TITLE_NUMBER_PR_CHANGE="",IF(TITLE_NUMBER_PR="","",TITLE_NUMBER_PR),TITLE_NUMBER_PR_CHANGE)</f>
        <v>вх. О-1106 (исх. №382 от 29.04.2026)</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433</v>
      </c>
      <c r="AD36" s="1637"/>
      <c r="AE36" s="1637"/>
      <c r="AF36" s="1637"/>
      <c r="AG36" s="1637"/>
      <c r="AH36" s="1637"/>
      <c r="AI36" s="1637"/>
      <c r="AJ36" s="1637"/>
      <c r="AK36" s="1644" t="s">
        <v>433</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310</v>
      </c>
      <c r="AS38" s="1633">
        <v>14</v>
      </c>
    </row>
    <row customHeight="1" ht="15">
      <c r="Q39" s="378"/>
      <c r="R39" s="378"/>
      <c r="S39" s="2275" t="s">
        <v>90</v>
      </c>
      <c r="T39" s="2211" t="s">
        <v>434</v>
      </c>
      <c r="U39" s="339"/>
      <c r="V39" s="2276" t="s">
        <v>435</v>
      </c>
      <c r="W39" s="2277"/>
      <c r="X39" s="2277"/>
      <c r="Y39" s="2277"/>
      <c r="Z39" s="2277"/>
      <c r="AA39" s="2277"/>
      <c r="AB39" s="2278"/>
      <c r="AC39" s="2279" t="s">
        <v>436</v>
      </c>
      <c r="AD39" s="2276" t="s">
        <v>435</v>
      </c>
      <c r="AE39" s="2277"/>
      <c r="AF39" s="2277"/>
      <c r="AG39" s="2277"/>
      <c r="AH39" s="2277"/>
      <c r="AI39" s="2277"/>
      <c r="AJ39" s="2278"/>
      <c r="AK39" s="2279" t="s">
        <v>437</v>
      </c>
      <c r="AL39" s="2282" t="s">
        <v>438</v>
      </c>
      <c r="AM39" s="2129"/>
      <c r="AS39" s="1633">
        <v>14</v>
      </c>
    </row>
    <row customHeight="1" ht="36">
      <c r="Q40" s="378"/>
      <c r="R40" s="378"/>
      <c r="S40" s="2275"/>
      <c r="T40" s="2211"/>
      <c r="U40" s="1033"/>
      <c r="V40" s="2262" t="s">
        <v>439</v>
      </c>
      <c r="W40" s="2285" t="s">
        <v>440</v>
      </c>
      <c r="X40" s="2264" t="s">
        <v>441</v>
      </c>
      <c r="Y40" s="2265"/>
      <c r="Z40" s="2264" t="s">
        <v>455</v>
      </c>
      <c r="AA40" s="2271"/>
      <c r="AB40" s="2265"/>
      <c r="AC40" s="2280"/>
      <c r="AD40" s="2262" t="s">
        <v>439</v>
      </c>
      <c r="AE40" s="2285" t="s">
        <v>440</v>
      </c>
      <c r="AF40" s="2264" t="s">
        <v>441</v>
      </c>
      <c r="AG40" s="2265"/>
      <c r="AH40" s="2264" t="s">
        <v>442</v>
      </c>
      <c r="AI40" s="2271"/>
      <c r="AJ40" s="2265"/>
      <c r="AK40" s="2280"/>
      <c r="AL40" s="2283"/>
      <c r="AM40" s="2129"/>
      <c r="AS40" s="1633">
        <v>34</v>
      </c>
    </row>
    <row customHeight="1" ht="36">
      <c r="A41" s="1268"/>
      <c r="B41" s="1268" t="s">
        <v>137</v>
      </c>
      <c r="C41" s="1268" t="s">
        <v>138</v>
      </c>
      <c r="D41" s="1268" t="s">
        <v>139</v>
      </c>
      <c r="E41" s="1312" t="s">
        <v>443</v>
      </c>
      <c r="F41" s="1312" t="s">
        <v>444</v>
      </c>
      <c r="G41" s="1312" t="s">
        <v>445</v>
      </c>
      <c r="H41" s="1312" t="s">
        <v>446</v>
      </c>
      <c r="I41" s="1312" t="s">
        <v>447</v>
      </c>
      <c r="J41" s="1312" t="s">
        <v>448</v>
      </c>
      <c r="K41" s="1312" t="s">
        <v>449</v>
      </c>
      <c r="L41" s="1312" t="s">
        <v>424</v>
      </c>
      <c r="Q41" s="378"/>
      <c r="R41" s="378"/>
      <c r="S41" s="2275"/>
      <c r="T41" s="2211"/>
      <c r="U41" s="304"/>
      <c r="V41" s="2263"/>
      <c r="W41" s="2286"/>
      <c r="X41" s="1940" t="s">
        <v>450</v>
      </c>
      <c r="Y41" s="1940" t="s">
        <v>451</v>
      </c>
      <c r="Z41" s="1940" t="s">
        <v>452</v>
      </c>
      <c r="AA41" s="2272" t="s">
        <v>453</v>
      </c>
      <c r="AB41" s="2273"/>
      <c r="AC41" s="2281"/>
      <c r="AD41" s="2263"/>
      <c r="AE41" s="2286"/>
      <c r="AF41" s="1940" t="s">
        <v>450</v>
      </c>
      <c r="AG41" s="1940" t="s">
        <v>451</v>
      </c>
      <c r="AH41" s="1940" t="s">
        <v>452</v>
      </c>
      <c r="AI41" s="2272" t="s">
        <v>453</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111</v>
      </c>
      <c r="T42" s="1257" t="s">
        <v>112</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221</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221</v>
      </c>
      <c r="B44" s="1269" t="s">
        <v>222</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406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407</v>
      </c>
      <c r="AO44" s="1626"/>
      <c r="AP44" s="1626" t="str">
        <f>IF(T44="","",T44)</f>
        <v>Территория действия тарифа</v>
      </c>
      <c r="AQ44" s="1626"/>
      <c r="AR44" s="1626"/>
      <c r="AS44" s="1633">
        <v>21</v>
      </c>
    </row>
    <row customHeight="1" ht="24">
      <c r="A45" s="1269" t="s">
        <v>221</v>
      </c>
      <c r="B45" s="1269" t="s">
        <v>222</v>
      </c>
      <c r="C45" s="1269" t="s">
        <v>223</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408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409</v>
      </c>
      <c r="AO45" s="1626"/>
      <c r="AP45" s="1626" t="str">
        <f>IF(T45="","",T45)</f>
        <v>Наименование системы теплоснабжения </v>
      </c>
      <c r="AQ45" s="1626"/>
      <c r="AR45" s="1626"/>
      <c r="AS45" s="1633">
        <v>23</v>
      </c>
    </row>
    <row customHeight="1" ht="21.75">
      <c r="A46" s="1269" t="s">
        <v>221</v>
      </c>
      <c r="B46" s="1269" t="s">
        <v>222</v>
      </c>
      <c r="C46" s="1269" t="s">
        <v>223</v>
      </c>
      <c r="D46" s="1269" t="s">
        <v>224</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410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411</v>
      </c>
      <c r="AO46" s="1626"/>
      <c r="AP46" s="1626" t="str">
        <f>IF(T46="","",T46)</f>
        <v>Источник тепловой энергии  </v>
      </c>
      <c r="AQ46" s="1626"/>
      <c r="AR46" s="1626"/>
      <c r="AS46" s="1633">
        <v>21</v>
      </c>
    </row>
    <row customHeight="1" ht="49.5">
      <c r="A47" s="1269" t="s">
        <v>221</v>
      </c>
      <c r="B47" s="1269" t="s">
        <v>222</v>
      </c>
      <c r="C47" s="1269" t="s">
        <v>223</v>
      </c>
      <c r="D47" s="1269" t="s">
        <v>224</v>
      </c>
      <c r="E47" s="2292"/>
      <c r="F47" s="2292"/>
      <c r="G47" s="2292"/>
      <c r="H47" s="2292"/>
      <c r="I47" s="2129" t="str">
        <f>S46&amp;".1"</f>
        <v>....1</v>
      </c>
      <c r="J47" s="1269"/>
      <c r="K47" s="1269"/>
      <c r="L47" s="1312" t="s">
        <v>412</v>
      </c>
      <c r="P47" s="2259">
        <v>1</v>
      </c>
      <c r="Q47" s="1956"/>
      <c r="R47" s="358"/>
      <c r="S47" s="1960" t="str">
        <f>$I47</f>
        <v>....1</v>
      </c>
      <c r="T47" s="287" t="s">
        <v>413</v>
      </c>
      <c r="U47" s="302"/>
      <c r="V47" s="2247"/>
      <c r="W47" s="2248"/>
      <c r="X47" s="2248"/>
      <c r="Y47" s="2248"/>
      <c r="Z47" s="2248"/>
      <c r="AA47" s="2248"/>
      <c r="AB47" s="2248"/>
      <c r="AC47" s="2249"/>
      <c r="AD47" s="2247"/>
      <c r="AE47" s="2248"/>
      <c r="AF47" s="2248"/>
      <c r="AG47" s="2248"/>
      <c r="AH47" s="2248"/>
      <c r="AI47" s="2248"/>
      <c r="AJ47" s="2248"/>
      <c r="AK47" s="2248"/>
      <c r="AL47" s="2249"/>
      <c r="AM47" s="1260" t="s">
        <v>414</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221</v>
      </c>
      <c r="B48" s="1269" t="s">
        <v>222</v>
      </c>
      <c r="C48" s="1269" t="s">
        <v>223</v>
      </c>
      <c r="D48" s="1269" t="s">
        <v>224</v>
      </c>
      <c r="E48" s="2292"/>
      <c r="F48" s="2292"/>
      <c r="G48" s="2292"/>
      <c r="H48" s="2292"/>
      <c r="I48" s="2103"/>
      <c r="J48" s="2129" t="str">
        <f>I47&amp;".1"</f>
        <v>....1.1</v>
      </c>
      <c r="K48" s="1269"/>
      <c r="L48" s="1312" t="s">
        <v>415</v>
      </c>
      <c r="P48" s="2259"/>
      <c r="Q48" s="2259">
        <v>1</v>
      </c>
      <c r="R48" s="359"/>
      <c r="S48" s="1960" t="str">
        <f>$J48</f>
        <v>....1.1</v>
      </c>
      <c r="T48" s="288" t="s">
        <v>416</v>
      </c>
      <c r="U48" s="302"/>
      <c r="V48" s="2247"/>
      <c r="W48" s="2248"/>
      <c r="X48" s="2248"/>
      <c r="Y48" s="2248"/>
      <c r="Z48" s="2248"/>
      <c r="AA48" s="2248"/>
      <c r="AB48" s="2248"/>
      <c r="AC48" s="2249"/>
      <c r="AD48" s="2247"/>
      <c r="AE48" s="2248"/>
      <c r="AF48" s="2248"/>
      <c r="AG48" s="2248"/>
      <c r="AH48" s="2248"/>
      <c r="AI48" s="2248"/>
      <c r="AJ48" s="2248"/>
      <c r="AK48" s="2248"/>
      <c r="AL48" s="2249"/>
      <c r="AM48" s="1260" t="s">
        <v>417</v>
      </c>
      <c r="AO48" s="1626"/>
      <c r="AP48" s="1626" t="str">
        <f>IF(T48="","",T48)</f>
        <v>Группа потребителей</v>
      </c>
      <c r="AQ48" s="1626"/>
      <c r="AR48" s="1626"/>
      <c r="AS48" s="1633">
        <v>21</v>
      </c>
    </row>
    <row customHeight="1" ht="21.75">
      <c r="A49" s="1269" t="s">
        <v>221</v>
      </c>
      <c r="B49" s="1269" t="s">
        <v>222</v>
      </c>
      <c r="C49" s="1269" t="s">
        <v>223</v>
      </c>
      <c r="D49" s="1269" t="s">
        <v>224</v>
      </c>
      <c r="E49" s="2292"/>
      <c r="F49" s="2292"/>
      <c r="G49" s="2292"/>
      <c r="H49" s="2292"/>
      <c r="I49" s="2103"/>
      <c r="J49" s="2103"/>
      <c r="K49" s="2129" t="str">
        <f>J48&amp;".1"</f>
        <v>....1.1.1</v>
      </c>
      <c r="L49" s="1312" t="s">
        <v>418</v>
      </c>
      <c r="P49" s="2259"/>
      <c r="Q49" s="2259"/>
      <c r="R49" s="359">
        <v>1</v>
      </c>
      <c r="S49" s="1960" t="str">
        <f>$K49</f>
        <v>....1.1.1</v>
      </c>
      <c r="T49" s="1349"/>
      <c r="U49" s="302"/>
      <c r="V49" s="753"/>
      <c r="W49" s="327"/>
      <c r="X49" s="753"/>
      <c r="Y49" s="1259"/>
      <c r="Z49" s="2267"/>
      <c r="AA49" s="2109" t="s">
        <v>68</v>
      </c>
      <c r="AB49" s="2267"/>
      <c r="AC49" s="2109" t="s">
        <v>68</v>
      </c>
      <c r="AD49" s="753"/>
      <c r="AE49" s="327"/>
      <c r="AF49" s="753"/>
      <c r="AG49" s="1259"/>
      <c r="AH49" s="2267"/>
      <c r="AI49" s="2109" t="s">
        <v>68</v>
      </c>
      <c r="AJ49" s="2289"/>
      <c r="AK49" s="2109" t="s">
        <v>68</v>
      </c>
      <c r="AL49" s="1350"/>
      <c r="AM49" s="2255" t="s">
        <v>419</v>
      </c>
      <c r="AN49" s="1638">
        <f>STRCHECKDATE(V50:AL50)</f>
      </c>
      <c r="AO49" s="1626"/>
      <c r="AP49" s="1626" t="str">
        <f>IF(T49="","",T49)</f>
        <v/>
      </c>
      <c r="AQ49" s="1626"/>
      <c r="AR49" s="1626"/>
      <c r="AS49" s="1633">
        <v>21</v>
      </c>
    </row>
    <row customHeight="1" ht="0.75">
      <c r="A50" s="1269" t="s">
        <v>221</v>
      </c>
      <c r="B50" s="1269" t="s">
        <v>222</v>
      </c>
      <c r="C50" s="1269" t="s">
        <v>223</v>
      </c>
      <c r="D50" s="1269" t="s">
        <v>224</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221</v>
      </c>
      <c r="B51" s="1269" t="s">
        <v>222</v>
      </c>
      <c r="C51" s="1269" t="s">
        <v>223</v>
      </c>
      <c r="D51" s="1269" t="s">
        <v>224</v>
      </c>
      <c r="E51" s="2292"/>
      <c r="F51" s="2292"/>
      <c r="G51" s="2292"/>
      <c r="H51" s="2292"/>
      <c r="I51" s="2103"/>
      <c r="J51" s="2129"/>
      <c r="K51" s="1269"/>
      <c r="L51" s="1312"/>
      <c r="P51" s="2259"/>
      <c r="Q51" s="2259"/>
      <c r="R51" s="358"/>
      <c r="S51" s="1280"/>
      <c r="T51" s="290" t="s">
        <v>420</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221</v>
      </c>
      <c r="B52" s="1269" t="s">
        <v>222</v>
      </c>
      <c r="C52" s="1269" t="s">
        <v>223</v>
      </c>
      <c r="D52" s="1269" t="s">
        <v>224</v>
      </c>
      <c r="E52" s="2292"/>
      <c r="F52" s="2292"/>
      <c r="G52" s="2292"/>
      <c r="H52" s="2292"/>
      <c r="I52" s="2129"/>
      <c r="J52" s="1269"/>
      <c r="K52" s="1269"/>
      <c r="L52" s="1312"/>
      <c r="P52" s="2259"/>
      <c r="Q52" s="1956"/>
      <c r="R52" s="358"/>
      <c r="S52" s="1280"/>
      <c r="T52" s="289" t="s">
        <v>421</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221</v>
      </c>
      <c r="B53" s="1269" t="s">
        <v>222</v>
      </c>
      <c r="C53" s="1269" t="s">
        <v>223</v>
      </c>
      <c r="D53" s="1269" t="s">
        <v>224</v>
      </c>
      <c r="E53" s="2292"/>
      <c r="F53" s="2292"/>
      <c r="G53" s="2292"/>
      <c r="H53" s="2291"/>
      <c r="I53" s="1269"/>
      <c r="J53" s="1269"/>
      <c r="K53" s="1269"/>
      <c r="L53" s="1312"/>
      <c r="M53" s="1612"/>
      <c r="N53" s="1612"/>
      <c r="O53" s="1637"/>
      <c r="P53" s="362"/>
      <c r="Q53" s="377"/>
      <c r="R53" s="357"/>
      <c r="S53" s="1280"/>
      <c r="T53" s="367" t="s">
        <v>422</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221</v>
      </c>
      <c r="B54" s="1269" t="s">
        <v>222</v>
      </c>
      <c r="C54" s="1269" t="s">
        <v>223</v>
      </c>
      <c r="D54" s="1976"/>
      <c r="E54" s="2292"/>
      <c r="F54" s="2292"/>
      <c r="G54" s="2291"/>
      <c r="H54" s="1976"/>
      <c r="I54" s="1976"/>
      <c r="J54" s="1976"/>
      <c r="K54" s="1976"/>
      <c r="L54" s="1382"/>
      <c r="M54" s="1612"/>
      <c r="N54" s="1612"/>
      <c r="O54" s="1637"/>
      <c r="P54" s="1318"/>
      <c r="Q54" s="1319"/>
      <c r="R54" s="1318"/>
      <c r="S54" s="1324"/>
      <c r="T54" s="1327" t="s">
        <v>172</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221</v>
      </c>
      <c r="B55" s="1269" t="s">
        <v>222</v>
      </c>
      <c r="C55" s="1976"/>
      <c r="D55" s="1976"/>
      <c r="E55" s="2292"/>
      <c r="F55" s="2291"/>
      <c r="G55" s="1976"/>
      <c r="H55" s="1976"/>
      <c r="I55" s="1976"/>
      <c r="J55" s="1976"/>
      <c r="K55" s="1976"/>
      <c r="L55" s="1382"/>
      <c r="M55" s="1977"/>
      <c r="N55" s="1977"/>
      <c r="O55" s="1637"/>
      <c r="P55" s="1318"/>
      <c r="Q55" s="1319"/>
      <c r="R55" s="1318"/>
      <c r="S55" s="1324"/>
      <c r="T55" s="1327" t="s">
        <v>173</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221</v>
      </c>
      <c r="B56" s="1269"/>
      <c r="C56" s="1269"/>
      <c r="D56" s="1269"/>
      <c r="E56" s="2291"/>
      <c r="F56" s="1269"/>
      <c r="G56" s="1269"/>
      <c r="H56" s="1269"/>
      <c r="I56" s="1269"/>
      <c r="J56" s="1269"/>
      <c r="K56" s="1269"/>
      <c r="L56" s="1312"/>
      <c r="M56" s="1977"/>
      <c r="N56" s="1977"/>
      <c r="O56" s="1637"/>
      <c r="P56" s="382"/>
      <c r="Q56" s="1346"/>
      <c r="R56" s="382"/>
      <c r="S56" s="1324"/>
      <c r="T56" s="1327" t="s">
        <v>174</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175</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84</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0E7E8E-CE3E-D2F7-9BC2-0.50635A54}"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410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411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412</v>
      </c>
      <c r="M6" s="539"/>
      <c r="P6" s="2259">
        <v>1</v>
      </c>
      <c r="Q6" s="1333"/>
      <c r="R6" s="358"/>
      <c r="S6" s="1338">
        <f>$I6</f>
      </c>
      <c r="T6" s="287" t="s">
        <v>413</v>
      </c>
      <c r="U6" s="302"/>
      <c r="V6" s="2247"/>
      <c r="W6" s="2248"/>
      <c r="X6" s="2248"/>
      <c r="Y6" s="2248"/>
      <c r="Z6" s="2248"/>
      <c r="AA6" s="2248"/>
      <c r="AB6" s="2248"/>
      <c r="AC6" s="2249"/>
      <c r="AD6" s="2247"/>
      <c r="AE6" s="2248"/>
      <c r="AF6" s="2248"/>
      <c r="AG6" s="2248"/>
      <c r="AH6" s="2248"/>
      <c r="AI6" s="2248"/>
      <c r="AJ6" s="2248"/>
      <c r="AK6" s="2248"/>
      <c r="AL6" s="2249"/>
      <c r="AM6" s="1260" t="s">
        <v>414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415</v>
      </c>
      <c r="M7" s="539"/>
      <c r="N7" s="1368"/>
      <c r="P7" s="2259"/>
      <c r="Q7" s="2259">
        <v>1</v>
      </c>
      <c r="R7" s="359"/>
      <c r="S7" s="1338">
        <f>$J7</f>
      </c>
      <c r="T7" s="288" t="s">
        <v>416</v>
      </c>
      <c r="U7" s="302"/>
      <c r="V7" s="2247"/>
      <c r="W7" s="2248"/>
      <c r="X7" s="2248"/>
      <c r="Y7" s="2248"/>
      <c r="Z7" s="2248"/>
      <c r="AA7" s="2248"/>
      <c r="AB7" s="2248"/>
      <c r="AC7" s="2249"/>
      <c r="AD7" s="2247"/>
      <c r="AE7" s="2248"/>
      <c r="AF7" s="2248"/>
      <c r="AG7" s="2248"/>
      <c r="AH7" s="2248"/>
      <c r="AI7" s="2248"/>
      <c r="AJ7" s="2248"/>
      <c r="AK7" s="2248"/>
      <c r="AL7" s="2249"/>
      <c r="AM7" s="1260" t="s">
        <v>417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418</v>
      </c>
      <c r="M8" s="539"/>
      <c r="N8" s="1368"/>
      <c r="O8" s="1368"/>
      <c r="P8" s="2259"/>
      <c r="Q8" s="2259"/>
      <c r="R8" s="359">
        <v>1</v>
      </c>
      <c r="S8" s="1338">
        <f>$K8</f>
      </c>
      <c r="T8" s="1349"/>
      <c r="U8" s="302"/>
      <c r="V8" s="327"/>
      <c r="W8" s="753"/>
      <c r="X8" s="327"/>
      <c r="Y8" s="386"/>
      <c r="Z8" s="2267"/>
      <c r="AA8" s="2109" t="s">
        <v>68</v>
      </c>
      <c r="AB8" s="2267"/>
      <c r="AC8" s="2109" t="s">
        <v>68</v>
      </c>
      <c r="AD8" s="327"/>
      <c r="AE8" s="753"/>
      <c r="AF8" s="327"/>
      <c r="AG8" s="386"/>
      <c r="AH8" s="2267"/>
      <c r="AI8" s="2109" t="s">
        <v>68</v>
      </c>
      <c r="AJ8" s="2267"/>
      <c r="AK8" s="2109" t="s">
        <v>68</v>
      </c>
      <c r="AL8" s="327"/>
      <c r="AM8" s="2255" t="s">
        <v>419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420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421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422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172</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173</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174</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68</v>
      </c>
      <c r="AJ17" s="2269"/>
      <c r="AK17" s="2270" t="s">
        <v>68</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423</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424</v>
      </c>
      <c r="P22" s="1364"/>
      <c r="Q22" s="1373"/>
      <c r="R22" s="1373"/>
      <c r="S22" s="731"/>
      <c r="T22" s="1162" t="s">
        <v>425</v>
      </c>
      <c r="AA22" s="188" t="s">
        <v>426</v>
      </c>
      <c r="AC22" s="188" t="s">
        <v>427</v>
      </c>
      <c r="AD22" s="1162" t="s">
        <v>425</v>
      </c>
      <c r="AI22" s="188" t="s">
        <v>428</v>
      </c>
      <c r="AK22" s="188" t="s">
        <v>427</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43</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429</v>
      </c>
      <c r="T30" s="2252"/>
      <c r="U30" s="1374"/>
      <c r="V30" s="2266" t="str">
        <f>IF(TITLE_DATE_PR_CHANGE="",IF(TITLE_DATE_PR="","",TITLE_DATE_PR),TITLE_DATE_PR_CHANGE)</f>
        <v>46141.35650462963</v>
      </c>
      <c r="W30" s="2266"/>
      <c r="X30" s="2266"/>
      <c r="Y30" s="2266"/>
      <c r="Z30" s="2266"/>
      <c r="AA30" s="2266"/>
      <c r="AB30" s="2266"/>
      <c r="AC30" s="328"/>
      <c r="AD30" s="2266" t="str">
        <f>IF(TITLE_DATE_PR_CHANGE="",IF(TITLE_DATE_PR="","",TITLE_DATE_PR),TITLE_DATE_PR_CHANGE)</f>
        <v>46141.35650462963</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430</v>
      </c>
      <c r="T31" s="2252"/>
      <c r="U31" s="1374"/>
      <c r="V31" s="2253" t="str">
        <f>IF(TITLE_NUMBER_PR_CHANGE="",IF(TITLE_NUMBER_PR="","",TITLE_NUMBER_PR),TITLE_NUMBER_PR_CHANGE)</f>
        <v>вх. О-1106 (исх. №382 от 29.04.2026)</v>
      </c>
      <c r="W31" s="2253"/>
      <c r="X31" s="2253"/>
      <c r="Y31" s="2253"/>
      <c r="Z31" s="2253"/>
      <c r="AA31" s="2253"/>
      <c r="AB31" s="2253"/>
      <c r="AC31" s="328"/>
      <c r="AD31" s="2253" t="str">
        <f>IF(TITLE_NUMBER_PR_CHANGE="",IF(TITLE_NUMBER_PR="","",TITLE_NUMBER_PR),TITLE_NUMBER_PR_CHANGE)</f>
        <v>вх. О-1106 (исх. №382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44</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431</v>
      </c>
      <c r="T34" s="2252"/>
      <c r="U34" s="1374"/>
      <c r="V34" s="2266" t="str">
        <f>IF(TITLE_DATE_PR_CHANGE="",IF(TITLE_DATE_PR="","",TITLE_DATE_PR),TITLE_DATE_PR_CHANGE)</f>
        <v>46141.35650462963</v>
      </c>
      <c r="W34" s="2266"/>
      <c r="X34" s="2266"/>
      <c r="Y34" s="2266"/>
      <c r="Z34" s="2266"/>
      <c r="AA34" s="2266"/>
      <c r="AB34" s="2266"/>
      <c r="AC34" s="328"/>
      <c r="AD34" s="2266" t="str">
        <f>IF(TITLE_DATE_PR_CHANGE="",IF(TITLE_DATE_PR="","",TITLE_DATE_PR),TITLE_DATE_PR_CHANGE)</f>
        <v>46141.35650462963</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432</v>
      </c>
      <c r="T35" s="2252"/>
      <c r="U35" s="1374"/>
      <c r="V35" s="2253" t="str">
        <f>IF(TITLE_NUMBER_PR_CHANGE="",IF(TITLE_NUMBER_PR="","",TITLE_NUMBER_PR),TITLE_NUMBER_PR_CHANGE)</f>
        <v>вх. О-1106 (исх. №382 от 29.04.2026)</v>
      </c>
      <c r="W35" s="2253"/>
      <c r="X35" s="2253"/>
      <c r="Y35" s="2253"/>
      <c r="Z35" s="2253"/>
      <c r="AA35" s="2253"/>
      <c r="AB35" s="2253"/>
      <c r="AC35" s="328"/>
      <c r="AD35" s="2253" t="str">
        <f>IF(TITLE_NUMBER_PR_CHANGE="",IF(TITLE_NUMBER_PR="","",TITLE_NUMBER_PR),TITLE_NUMBER_PR_CHANGE)</f>
        <v>вх. О-1106 (исх. №382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433</v>
      </c>
      <c r="AD36" s="328"/>
      <c r="AE36" s="328"/>
      <c r="AF36" s="328"/>
      <c r="AG36" s="328"/>
      <c r="AH36" s="328"/>
      <c r="AI36" s="328"/>
      <c r="AJ36" s="328"/>
      <c r="AK36" s="280" t="s">
        <v>433</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310</v>
      </c>
      <c r="AS38" s="1157">
        <v>14</v>
      </c>
    </row>
    <row customHeight="1" ht="15">
      <c r="Q39" s="378"/>
      <c r="R39" s="378"/>
      <c r="S39" s="2275" t="s">
        <v>90</v>
      </c>
      <c r="T39" s="2211" t="s">
        <v>434</v>
      </c>
      <c r="U39" s="303"/>
      <c r="V39" s="2276" t="s">
        <v>435</v>
      </c>
      <c r="W39" s="2277"/>
      <c r="X39" s="2293"/>
      <c r="Y39" s="2293"/>
      <c r="Z39" s="2277"/>
      <c r="AA39" s="2277"/>
      <c r="AB39" s="2278"/>
      <c r="AC39" s="2279" t="s">
        <v>436</v>
      </c>
      <c r="AD39" s="2276" t="s">
        <v>435</v>
      </c>
      <c r="AE39" s="2277"/>
      <c r="AF39" s="2293"/>
      <c r="AG39" s="2293"/>
      <c r="AH39" s="2277"/>
      <c r="AI39" s="2277"/>
      <c r="AJ39" s="2278"/>
      <c r="AK39" s="2279" t="s">
        <v>437</v>
      </c>
      <c r="AL39" s="2282" t="s">
        <v>438</v>
      </c>
      <c r="AM39" s="2129"/>
      <c r="AS39" s="1157">
        <v>14</v>
      </c>
    </row>
    <row customHeight="1" ht="24">
      <c r="Q40" s="378"/>
      <c r="R40" s="378"/>
      <c r="S40" s="2275"/>
      <c r="T40" s="2211"/>
      <c r="U40" s="1033"/>
      <c r="V40" s="2294" t="s">
        <v>439</v>
      </c>
      <c r="W40" s="2296" t="s">
        <v>440</v>
      </c>
      <c r="X40" s="1378" t="s">
        <v>441</v>
      </c>
      <c r="Y40" s="1378"/>
      <c r="Z40" s="2271" t="s">
        <v>442</v>
      </c>
      <c r="AA40" s="2271"/>
      <c r="AB40" s="2265"/>
      <c r="AC40" s="2280"/>
      <c r="AD40" s="2294" t="s">
        <v>439</v>
      </c>
      <c r="AE40" s="2296" t="s">
        <v>440</v>
      </c>
      <c r="AF40" s="1378" t="s">
        <v>441</v>
      </c>
      <c r="AG40" s="1378"/>
      <c r="AH40" s="2271" t="s">
        <v>442</v>
      </c>
      <c r="AI40" s="2271"/>
      <c r="AJ40" s="2265"/>
      <c r="AK40" s="2280"/>
      <c r="AL40" s="2283"/>
      <c r="AM40" s="2129"/>
      <c r="AS40" s="1157">
        <v>23</v>
      </c>
    </row>
    <row s="1268" customFormat="1" customHeight="1" ht="24">
      <c r="A41" s="1372"/>
      <c r="B41" s="1372" t="s">
        <v>137</v>
      </c>
      <c r="C41" s="1372" t="s">
        <v>138</v>
      </c>
      <c r="D41" s="1372" t="s">
        <v>139</v>
      </c>
      <c r="E41" s="1366" t="s">
        <v>443</v>
      </c>
      <c r="F41" s="1366" t="s">
        <v>444</v>
      </c>
      <c r="G41" s="1366" t="s">
        <v>445</v>
      </c>
      <c r="H41" s="1366" t="s">
        <v>446</v>
      </c>
      <c r="I41" s="1366" t="s">
        <v>447</v>
      </c>
      <c r="J41" s="1366" t="s">
        <v>448</v>
      </c>
      <c r="K41" s="1366" t="s">
        <v>449</v>
      </c>
      <c r="L41" s="1366" t="s">
        <v>424</v>
      </c>
      <c r="M41" s="1364"/>
      <c r="N41" s="1364"/>
      <c r="O41" s="1364"/>
      <c r="P41" s="1330"/>
      <c r="Q41" s="378"/>
      <c r="R41" s="378"/>
      <c r="S41" s="2275"/>
      <c r="T41" s="2211"/>
      <c r="U41" s="304"/>
      <c r="V41" s="2295"/>
      <c r="W41" s="2297"/>
      <c r="X41" s="1375" t="s">
        <v>450</v>
      </c>
      <c r="Y41" s="1375" t="s">
        <v>451</v>
      </c>
      <c r="Z41" s="1336" t="s">
        <v>452</v>
      </c>
      <c r="AA41" s="2272" t="s">
        <v>453</v>
      </c>
      <c r="AB41" s="2273"/>
      <c r="AC41" s="2281"/>
      <c r="AD41" s="2295"/>
      <c r="AE41" s="2297"/>
      <c r="AF41" s="1375" t="s">
        <v>450</v>
      </c>
      <c r="AG41" s="1375" t="s">
        <v>451</v>
      </c>
      <c r="AH41" s="1336" t="s">
        <v>452</v>
      </c>
      <c r="AI41" s="2272" t="s">
        <v>453</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111</v>
      </c>
      <c r="T42" s="1257" t="s">
        <v>112</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203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203</v>
      </c>
      <c r="B44" s="1365" t="s">
        <v>204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407</v>
      </c>
      <c r="AO44" s="502"/>
      <c r="AP44" s="502" t="str">
        <f>IF(T44="","",T44)</f>
        <v>Территория действия тарифа</v>
      </c>
      <c r="AQ44" s="502"/>
      <c r="AR44" s="502"/>
      <c r="AS44" s="1157">
        <v>21</v>
      </c>
    </row>
    <row customHeight="1" ht="24">
      <c r="A45" s="1365" t="s">
        <v>203</v>
      </c>
      <c r="B45" s="1365" t="s">
        <v>204</v>
      </c>
      <c r="C45" s="1365" t="s">
        <v>205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409</v>
      </c>
      <c r="AO45" s="502"/>
      <c r="AP45" s="502" t="str">
        <f>IF(T45="","",T45)</f>
        <v>Наименование системы теплоснабжения </v>
      </c>
      <c r="AQ45" s="502"/>
      <c r="AR45" s="502"/>
      <c r="AS45" s="1157">
        <v>23</v>
      </c>
    </row>
    <row customHeight="1" ht="21.75">
      <c r="A46" s="1365" t="s">
        <v>203</v>
      </c>
      <c r="B46" s="1365" t="s">
        <v>204</v>
      </c>
      <c r="C46" s="1365" t="s">
        <v>205</v>
      </c>
      <c r="D46" s="1365" t="s">
        <v>206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410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411</v>
      </c>
      <c r="AO46" s="502"/>
      <c r="AP46" s="502" t="str">
        <f>IF(T46="","",T46)</f>
        <v>Источник тепловой энергии  </v>
      </c>
      <c r="AQ46" s="502"/>
      <c r="AR46" s="502"/>
      <c r="AS46" s="1157">
        <v>21</v>
      </c>
    </row>
    <row customHeight="1" ht="49.5">
      <c r="A47" s="1365" t="s">
        <v>203</v>
      </c>
      <c r="B47" s="1365" t="s">
        <v>204</v>
      </c>
      <c r="C47" s="1365" t="s">
        <v>205</v>
      </c>
      <c r="D47" s="1365" t="s">
        <v>206</v>
      </c>
      <c r="E47" s="2261"/>
      <c r="F47" s="2261"/>
      <c r="G47" s="2261"/>
      <c r="H47" s="2261"/>
      <c r="I47" s="2258" t="str">
        <f>S46&amp;".1"</f>
        <v>....1</v>
      </c>
      <c r="J47" s="1365"/>
      <c r="K47" s="1365"/>
      <c r="L47" s="1366" t="s">
        <v>412</v>
      </c>
      <c r="P47" s="2259">
        <v>1</v>
      </c>
      <c r="Q47" s="1333"/>
      <c r="R47" s="358"/>
      <c r="S47" s="1338" t="str">
        <f>$I47</f>
        <v>....1</v>
      </c>
      <c r="T47" s="287" t="s">
        <v>413</v>
      </c>
      <c r="U47" s="302"/>
      <c r="V47" s="2247"/>
      <c r="W47" s="2248"/>
      <c r="X47" s="2248"/>
      <c r="Y47" s="2248"/>
      <c r="Z47" s="2248"/>
      <c r="AA47" s="2248"/>
      <c r="AB47" s="2248"/>
      <c r="AC47" s="2249"/>
      <c r="AD47" s="2247"/>
      <c r="AE47" s="2248"/>
      <c r="AF47" s="2248"/>
      <c r="AG47" s="2248"/>
      <c r="AH47" s="2248"/>
      <c r="AI47" s="2248"/>
      <c r="AJ47" s="2248"/>
      <c r="AK47" s="2248"/>
      <c r="AL47" s="2249"/>
      <c r="AM47" s="1260" t="s">
        <v>414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203</v>
      </c>
      <c r="B48" s="1365" t="s">
        <v>204</v>
      </c>
      <c r="C48" s="1365" t="s">
        <v>205</v>
      </c>
      <c r="D48" s="1365" t="s">
        <v>206</v>
      </c>
      <c r="E48" s="2261"/>
      <c r="F48" s="2261"/>
      <c r="G48" s="2261"/>
      <c r="H48" s="2261"/>
      <c r="I48" s="2288"/>
      <c r="J48" s="2258" t="str">
        <f>I47&amp;".1"</f>
        <v>....1.1</v>
      </c>
      <c r="K48" s="1365"/>
      <c r="L48" s="1366" t="s">
        <v>415</v>
      </c>
      <c r="P48" s="2259"/>
      <c r="Q48" s="2259">
        <v>1</v>
      </c>
      <c r="R48" s="359"/>
      <c r="S48" s="1338" t="str">
        <f>$J48</f>
        <v>....1.1</v>
      </c>
      <c r="T48" s="288" t="s">
        <v>416</v>
      </c>
      <c r="U48" s="302"/>
      <c r="V48" s="2247"/>
      <c r="W48" s="2248"/>
      <c r="X48" s="2248"/>
      <c r="Y48" s="2248"/>
      <c r="Z48" s="2248"/>
      <c r="AA48" s="2248"/>
      <c r="AB48" s="2248"/>
      <c r="AC48" s="2249"/>
      <c r="AD48" s="2247"/>
      <c r="AE48" s="2248"/>
      <c r="AF48" s="2248"/>
      <c r="AG48" s="2248"/>
      <c r="AH48" s="2248"/>
      <c r="AI48" s="2248"/>
      <c r="AJ48" s="2248"/>
      <c r="AK48" s="2248"/>
      <c r="AL48" s="2249"/>
      <c r="AM48" s="1260" t="s">
        <v>417</v>
      </c>
      <c r="AO48" s="502"/>
      <c r="AP48" s="502" t="str">
        <f>IF(T48="","",T48)</f>
        <v>Группа потребителей</v>
      </c>
      <c r="AQ48" s="502"/>
      <c r="AR48" s="502"/>
      <c r="AS48" s="1157">
        <v>21</v>
      </c>
    </row>
    <row customHeight="1" ht="21.75">
      <c r="A49" s="1365" t="s">
        <v>203</v>
      </c>
      <c r="B49" s="1365" t="s">
        <v>204</v>
      </c>
      <c r="C49" s="1365" t="s">
        <v>205</v>
      </c>
      <c r="D49" s="1365" t="s">
        <v>206</v>
      </c>
      <c r="E49" s="2261"/>
      <c r="F49" s="2261"/>
      <c r="G49" s="2261"/>
      <c r="H49" s="2261"/>
      <c r="I49" s="2288"/>
      <c r="J49" s="2288"/>
      <c r="K49" s="2258" t="str">
        <f>J48&amp;".1"</f>
        <v>....1.1.1</v>
      </c>
      <c r="L49" s="1366" t="s">
        <v>418</v>
      </c>
      <c r="P49" s="2259"/>
      <c r="Q49" s="2259"/>
      <c r="R49" s="359">
        <v>1</v>
      </c>
      <c r="S49" s="1338" t="str">
        <f>$K49</f>
        <v>....1.1.1</v>
      </c>
      <c r="T49" s="1349"/>
      <c r="U49" s="302"/>
      <c r="V49" s="327"/>
      <c r="W49" s="753"/>
      <c r="X49" s="327"/>
      <c r="Y49" s="386"/>
      <c r="Z49" s="2267"/>
      <c r="AA49" s="2109" t="s">
        <v>68</v>
      </c>
      <c r="AB49" s="2267"/>
      <c r="AC49" s="2109" t="s">
        <v>68</v>
      </c>
      <c r="AD49" s="327"/>
      <c r="AE49" s="753"/>
      <c r="AF49" s="327"/>
      <c r="AG49" s="386"/>
      <c r="AH49" s="2267"/>
      <c r="AI49" s="2109" t="s">
        <v>68</v>
      </c>
      <c r="AJ49" s="2289"/>
      <c r="AK49" s="2109" t="s">
        <v>68</v>
      </c>
      <c r="AL49" s="1350"/>
      <c r="AM49" s="2255" t="s">
        <v>419</v>
      </c>
      <c r="AN49" s="513">
        <f>STRCHECKDATE(V50:AL50)</f>
      </c>
      <c r="AO49" s="502"/>
      <c r="AP49" s="502" t="str">
        <f>IF(T49="","",T49)</f>
        <v/>
      </c>
      <c r="AQ49" s="502"/>
      <c r="AR49" s="502"/>
      <c r="AS49" s="1157">
        <v>21</v>
      </c>
    </row>
    <row customHeight="1" ht="0.75">
      <c r="A50" s="1365" t="s">
        <v>203</v>
      </c>
      <c r="B50" s="1365" t="s">
        <v>204</v>
      </c>
      <c r="C50" s="1365" t="s">
        <v>205</v>
      </c>
      <c r="D50" s="1365" t="s">
        <v>206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203</v>
      </c>
      <c r="B51" s="1365" t="s">
        <v>204</v>
      </c>
      <c r="C51" s="1365" t="s">
        <v>205</v>
      </c>
      <c r="D51" s="1365" t="s">
        <v>206</v>
      </c>
      <c r="E51" s="2261"/>
      <c r="F51" s="2261"/>
      <c r="G51" s="2261"/>
      <c r="H51" s="2261"/>
      <c r="I51" s="2288"/>
      <c r="J51" s="2258"/>
      <c r="K51" s="1365"/>
      <c r="L51" s="1366"/>
      <c r="P51" s="2259"/>
      <c r="Q51" s="2259"/>
      <c r="R51" s="358"/>
      <c r="S51" s="1280"/>
      <c r="T51" s="290" t="s">
        <v>420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203</v>
      </c>
      <c r="B52" s="1365" t="s">
        <v>204</v>
      </c>
      <c r="C52" s="1365" t="s">
        <v>205</v>
      </c>
      <c r="D52" s="1365" t="s">
        <v>206</v>
      </c>
      <c r="E52" s="2261"/>
      <c r="F52" s="2261"/>
      <c r="G52" s="2261"/>
      <c r="H52" s="2261"/>
      <c r="I52" s="2258"/>
      <c r="J52" s="1365"/>
      <c r="K52" s="1365"/>
      <c r="L52" s="1366"/>
      <c r="P52" s="2259"/>
      <c r="Q52" s="1333"/>
      <c r="R52" s="358"/>
      <c r="S52" s="1280"/>
      <c r="T52" s="289" t="s">
        <v>421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203</v>
      </c>
      <c r="B53" s="1365" t="s">
        <v>204</v>
      </c>
      <c r="C53" s="1365" t="s">
        <v>205</v>
      </c>
      <c r="D53" s="1365" t="s">
        <v>206</v>
      </c>
      <c r="E53" s="2261"/>
      <c r="F53" s="2261"/>
      <c r="G53" s="2261"/>
      <c r="H53" s="2260"/>
      <c r="I53" s="1365"/>
      <c r="J53" s="1365"/>
      <c r="K53" s="1365"/>
      <c r="L53" s="1366"/>
      <c r="M53" s="1367"/>
      <c r="N53" s="1367"/>
      <c r="O53" s="539"/>
      <c r="P53" s="362"/>
      <c r="Q53" s="377"/>
      <c r="R53" s="357"/>
      <c r="S53" s="1280"/>
      <c r="T53" s="367" t="s">
        <v>422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203</v>
      </c>
      <c r="B54" s="1345" t="s">
        <v>204</v>
      </c>
      <c r="C54" s="1345" t="s">
        <v>205</v>
      </c>
      <c r="D54" s="1316"/>
      <c r="E54" s="2261"/>
      <c r="F54" s="2261"/>
      <c r="G54" s="2260"/>
      <c r="H54" s="1316"/>
      <c r="I54" s="1316"/>
      <c r="J54" s="1316"/>
      <c r="K54" s="1316"/>
      <c r="L54" s="1341"/>
      <c r="M54" s="1317"/>
      <c r="N54" s="1317"/>
      <c r="P54" s="1318"/>
      <c r="Q54" s="1319"/>
      <c r="R54" s="1318"/>
      <c r="S54" s="1324"/>
      <c r="T54" s="1327" t="s">
        <v>172</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203</v>
      </c>
      <c r="B55" s="1345" t="s">
        <v>204</v>
      </c>
      <c r="C55" s="1316"/>
      <c r="D55" s="1316"/>
      <c r="E55" s="2261"/>
      <c r="F55" s="2260"/>
      <c r="G55" s="1316"/>
      <c r="H55" s="1316"/>
      <c r="I55" s="1316"/>
      <c r="J55" s="1316"/>
      <c r="K55" s="1316"/>
      <c r="L55" s="1341"/>
      <c r="M55" s="1323"/>
      <c r="N55" s="1323"/>
      <c r="P55" s="1318"/>
      <c r="Q55" s="1319"/>
      <c r="R55" s="1318"/>
      <c r="S55" s="1324"/>
      <c r="T55" s="1327" t="s">
        <v>173</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203</v>
      </c>
      <c r="B56" s="1345"/>
      <c r="C56" s="1345"/>
      <c r="D56" s="1345"/>
      <c r="E56" s="2260"/>
      <c r="F56" s="1345"/>
      <c r="G56" s="1345"/>
      <c r="H56" s="1345"/>
      <c r="I56" s="1345"/>
      <c r="J56" s="1345"/>
      <c r="K56" s="1345"/>
      <c r="L56" s="1348"/>
      <c r="M56" s="1323"/>
      <c r="N56" s="1323"/>
      <c r="O56" s="520"/>
      <c r="P56" s="382"/>
      <c r="Q56" s="1346"/>
      <c r="R56" s="382"/>
      <c r="S56" s="1324"/>
      <c r="T56" s="1327" t="s">
        <v>174</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175</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84</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4C2714-920B-48CE-E9AD-0.AB9758A6}"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410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411</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412</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415</v>
      </c>
      <c r="M7" s="539"/>
      <c r="N7" s="1368"/>
      <c r="P7" s="2259"/>
      <c r="Q7" s="2259">
        <v>1</v>
      </c>
      <c r="R7" s="359"/>
      <c r="S7" s="1338">
        <f>$J7</f>
      </c>
      <c r="T7" s="288" t="s">
        <v>416</v>
      </c>
      <c r="U7" s="302"/>
      <c r="V7" s="2247"/>
      <c r="W7" s="2248"/>
      <c r="X7" s="2248"/>
      <c r="Y7" s="2248"/>
      <c r="Z7" s="2248"/>
      <c r="AA7" s="2248"/>
      <c r="AB7" s="2248"/>
      <c r="AC7" s="2249"/>
      <c r="AD7" s="2247"/>
      <c r="AE7" s="2248"/>
      <c r="AF7" s="2248"/>
      <c r="AG7" s="2248"/>
      <c r="AH7" s="2248"/>
      <c r="AI7" s="2248"/>
      <c r="AJ7" s="2248"/>
      <c r="AK7" s="2248"/>
      <c r="AL7" s="2249"/>
      <c r="AM7" s="1260" t="s">
        <v>417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418</v>
      </c>
      <c r="M8" s="539"/>
      <c r="N8" s="1368"/>
      <c r="O8" s="1368"/>
      <c r="P8" s="2259"/>
      <c r="Q8" s="2259"/>
      <c r="R8" s="359">
        <v>1</v>
      </c>
      <c r="S8" s="1338">
        <f>$K8</f>
      </c>
      <c r="T8" s="1349"/>
      <c r="U8" s="302"/>
      <c r="V8" s="753"/>
      <c r="W8" s="327"/>
      <c r="X8" s="753"/>
      <c r="Y8" s="1259"/>
      <c r="Z8" s="2267"/>
      <c r="AA8" s="2109" t="s">
        <v>68</v>
      </c>
      <c r="AB8" s="2267"/>
      <c r="AC8" s="2109" t="s">
        <v>68</v>
      </c>
      <c r="AD8" s="753"/>
      <c r="AE8" s="327"/>
      <c r="AF8" s="753"/>
      <c r="AG8" s="1259"/>
      <c r="AH8" s="2267"/>
      <c r="AI8" s="2109" t="s">
        <v>68</v>
      </c>
      <c r="AJ8" s="2267"/>
      <c r="AK8" s="2109" t="s">
        <v>68</v>
      </c>
      <c r="AL8" s="327"/>
      <c r="AM8" s="2255" t="s">
        <v>419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420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421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172</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173</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174</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68</v>
      </c>
      <c r="AJ17" s="2269"/>
      <c r="AK17" s="2270" t="s">
        <v>68</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423</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424</v>
      </c>
      <c r="P22" s="1364"/>
      <c r="Q22" s="1373"/>
      <c r="R22" s="1373"/>
      <c r="S22" s="731"/>
      <c r="T22" s="1162" t="s">
        <v>425</v>
      </c>
      <c r="AA22" s="188" t="s">
        <v>426</v>
      </c>
      <c r="AC22" s="188" t="s">
        <v>427</v>
      </c>
      <c r="AD22" s="1162" t="s">
        <v>425</v>
      </c>
      <c r="AI22" s="188" t="s">
        <v>428</v>
      </c>
      <c r="AK22" s="188" t="s">
        <v>427</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43</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429</v>
      </c>
      <c r="T30" s="2252"/>
      <c r="U30" s="1374"/>
      <c r="V30" s="2266" t="str">
        <f>IF(TITLE_DATE_PR_CHANGE="",IF(TITLE_DATE_PR="","",TITLE_DATE_PR),TITLE_DATE_PR_CHANGE)</f>
        <v>46141.35650462963</v>
      </c>
      <c r="W30" s="2266"/>
      <c r="X30" s="2266"/>
      <c r="Y30" s="2266"/>
      <c r="Z30" s="2266"/>
      <c r="AA30" s="2266"/>
      <c r="AB30" s="2266"/>
      <c r="AC30" s="328"/>
      <c r="AD30" s="2266" t="str">
        <f>IF(TITLE_DATE_PR_CHANGE="",IF(TITLE_DATE_PR="","",TITLE_DATE_PR),TITLE_DATE_PR_CHANGE)</f>
        <v>46141.35650462963</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430</v>
      </c>
      <c r="T31" s="2252"/>
      <c r="U31" s="1374"/>
      <c r="V31" s="2253" t="str">
        <f>IF(TITLE_NUMBER_PR_CHANGE="",IF(TITLE_NUMBER_PR="","",TITLE_NUMBER_PR),TITLE_NUMBER_PR_CHANGE)</f>
        <v>вх. О-1106 (исх. №382 от 29.04.2026)</v>
      </c>
      <c r="W31" s="2253"/>
      <c r="X31" s="2253"/>
      <c r="Y31" s="2253"/>
      <c r="Z31" s="2253"/>
      <c r="AA31" s="2253"/>
      <c r="AB31" s="2253"/>
      <c r="AC31" s="328"/>
      <c r="AD31" s="2253" t="str">
        <f>IF(TITLE_NUMBER_PR_CHANGE="",IF(TITLE_NUMBER_PR="","",TITLE_NUMBER_PR),TITLE_NUMBER_PR_CHANGE)</f>
        <v>вх. О-1106 (исх. №382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44</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431</v>
      </c>
      <c r="T34" s="2252"/>
      <c r="U34" s="1374"/>
      <c r="V34" s="2266" t="str">
        <f>IF(TITLE_DATE_PR_CHANGE="",IF(TITLE_DATE_PR="","",TITLE_DATE_PR),TITLE_DATE_PR_CHANGE)</f>
        <v>46141.35650462963</v>
      </c>
      <c r="W34" s="2266"/>
      <c r="X34" s="2266"/>
      <c r="Y34" s="2266"/>
      <c r="Z34" s="2266"/>
      <c r="AA34" s="2266"/>
      <c r="AB34" s="2266"/>
      <c r="AC34" s="328"/>
      <c r="AD34" s="2266" t="str">
        <f>IF(TITLE_DATE_PR_CHANGE="",IF(TITLE_DATE_PR="","",TITLE_DATE_PR),TITLE_DATE_PR_CHANGE)</f>
        <v>46141.35650462963</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432</v>
      </c>
      <c r="T35" s="2252"/>
      <c r="U35" s="1374"/>
      <c r="V35" s="2253" t="str">
        <f>IF(TITLE_NUMBER_PR_CHANGE="",IF(TITLE_NUMBER_PR="","",TITLE_NUMBER_PR),TITLE_NUMBER_PR_CHANGE)</f>
        <v>вх. О-1106 (исх. №382 от 29.04.2026)</v>
      </c>
      <c r="W35" s="2253"/>
      <c r="X35" s="2253"/>
      <c r="Y35" s="2253"/>
      <c r="Z35" s="2253"/>
      <c r="AA35" s="2253"/>
      <c r="AB35" s="2253"/>
      <c r="AC35" s="328"/>
      <c r="AD35" s="2253" t="str">
        <f>IF(TITLE_NUMBER_PR_CHANGE="",IF(TITLE_NUMBER_PR="","",TITLE_NUMBER_PR),TITLE_NUMBER_PR_CHANGE)</f>
        <v>вх. О-1106 (исх. №382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433</v>
      </c>
      <c r="AD36" s="328"/>
      <c r="AE36" s="328"/>
      <c r="AF36" s="328"/>
      <c r="AG36" s="328"/>
      <c r="AH36" s="328"/>
      <c r="AI36" s="328"/>
      <c r="AJ36" s="328"/>
      <c r="AK36" s="280" t="s">
        <v>433</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310</v>
      </c>
      <c r="AS38" s="1157">
        <v>14</v>
      </c>
    </row>
    <row customHeight="1" ht="15">
      <c r="Q39" s="378"/>
      <c r="R39" s="378"/>
      <c r="S39" s="2275" t="s">
        <v>90</v>
      </c>
      <c r="T39" s="2211" t="s">
        <v>434</v>
      </c>
      <c r="U39" s="303"/>
      <c r="V39" s="2276" t="s">
        <v>435</v>
      </c>
      <c r="W39" s="2277"/>
      <c r="X39" s="2277"/>
      <c r="Y39" s="2277"/>
      <c r="Z39" s="2277"/>
      <c r="AA39" s="2277"/>
      <c r="AB39" s="2278"/>
      <c r="AC39" s="2279" t="s">
        <v>436</v>
      </c>
      <c r="AD39" s="2276" t="s">
        <v>435</v>
      </c>
      <c r="AE39" s="2277"/>
      <c r="AF39" s="2277"/>
      <c r="AG39" s="2277"/>
      <c r="AH39" s="2277"/>
      <c r="AI39" s="2277"/>
      <c r="AJ39" s="2278"/>
      <c r="AK39" s="2279" t="s">
        <v>437</v>
      </c>
      <c r="AL39" s="2282" t="s">
        <v>438</v>
      </c>
      <c r="AM39" s="2129"/>
      <c r="AS39" s="1157">
        <v>14</v>
      </c>
    </row>
    <row customHeight="1" ht="36">
      <c r="Q40" s="378"/>
      <c r="R40" s="378"/>
      <c r="S40" s="2275"/>
      <c r="T40" s="2211"/>
      <c r="U40" s="1033"/>
      <c r="V40" s="2262" t="s">
        <v>439</v>
      </c>
      <c r="W40" s="2285"/>
      <c r="X40" s="2264" t="s">
        <v>441</v>
      </c>
      <c r="Y40" s="2265"/>
      <c r="Z40" s="2264" t="s">
        <v>442</v>
      </c>
      <c r="AA40" s="2271"/>
      <c r="AB40" s="2265"/>
      <c r="AC40" s="2280"/>
      <c r="AD40" s="2262" t="s">
        <v>458</v>
      </c>
      <c r="AE40" s="2285"/>
      <c r="AF40" s="2264" t="s">
        <v>441</v>
      </c>
      <c r="AG40" s="2265"/>
      <c r="AH40" s="2264" t="s">
        <v>442</v>
      </c>
      <c r="AI40" s="2271"/>
      <c r="AJ40" s="2265"/>
      <c r="AK40" s="2280"/>
      <c r="AL40" s="2283"/>
      <c r="AM40" s="2129"/>
      <c r="AS40" s="1157">
        <v>34</v>
      </c>
    </row>
    <row customHeight="1" ht="36">
      <c r="A41" s="1372"/>
      <c r="B41" s="1372" t="s">
        <v>137</v>
      </c>
      <c r="C41" s="1372" t="s">
        <v>138</v>
      </c>
      <c r="D41" s="1372" t="s">
        <v>139</v>
      </c>
      <c r="E41" s="1366" t="s">
        <v>443</v>
      </c>
      <c r="F41" s="1366" t="s">
        <v>444</v>
      </c>
      <c r="G41" s="1366" t="s">
        <v>445</v>
      </c>
      <c r="H41" s="1366" t="s">
        <v>446</v>
      </c>
      <c r="I41" s="1366" t="s">
        <v>447</v>
      </c>
      <c r="J41" s="1366" t="s">
        <v>448</v>
      </c>
      <c r="K41" s="1366" t="s">
        <v>449</v>
      </c>
      <c r="L41" s="1366" t="s">
        <v>424</v>
      </c>
      <c r="Q41" s="378"/>
      <c r="R41" s="378"/>
      <c r="S41" s="2275"/>
      <c r="T41" s="2211"/>
      <c r="U41" s="304"/>
      <c r="V41" s="2263"/>
      <c r="W41" s="2286"/>
      <c r="X41" s="1224" t="s">
        <v>450</v>
      </c>
      <c r="Y41" s="1224" t="s">
        <v>451</v>
      </c>
      <c r="Z41" s="1340" t="s">
        <v>452</v>
      </c>
      <c r="AA41" s="2272" t="s">
        <v>453</v>
      </c>
      <c r="AB41" s="2273"/>
      <c r="AC41" s="2281"/>
      <c r="AD41" s="2263"/>
      <c r="AE41" s="2286"/>
      <c r="AF41" s="1224" t="s">
        <v>450</v>
      </c>
      <c r="AG41" s="1224" t="s">
        <v>451</v>
      </c>
      <c r="AH41" s="1340" t="s">
        <v>452</v>
      </c>
      <c r="AI41" s="2272" t="s">
        <v>453</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111</v>
      </c>
      <c r="T42" s="1257" t="s">
        <v>112</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179</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179</v>
      </c>
      <c r="B44" s="1365" t="s">
        <v>180</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407</v>
      </c>
      <c r="AO44" s="502"/>
      <c r="AP44" s="502" t="str">
        <f>IF(T44="","",T44)</f>
        <v>Территория действия тарифа</v>
      </c>
      <c r="AQ44" s="502"/>
      <c r="AR44" s="502"/>
      <c r="AS44" s="1157">
        <v>21</v>
      </c>
    </row>
    <row customHeight="1" ht="24">
      <c r="A45" s="1365" t="s">
        <v>179</v>
      </c>
      <c r="B45" s="1365" t="s">
        <v>180</v>
      </c>
      <c r="C45" s="1365" t="s">
        <v>181</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409</v>
      </c>
      <c r="AO45" s="502"/>
      <c r="AP45" s="502" t="str">
        <f>IF(T45="","",T45)</f>
        <v>Наименование системы теплоснабжения </v>
      </c>
      <c r="AQ45" s="502"/>
      <c r="AR45" s="502"/>
      <c r="AS45" s="1157">
        <v>23</v>
      </c>
    </row>
    <row customHeight="1" ht="21.75">
      <c r="A46" s="1365" t="s">
        <v>179</v>
      </c>
      <c r="B46" s="1365" t="s">
        <v>180</v>
      </c>
      <c r="C46" s="1365" t="s">
        <v>181</v>
      </c>
      <c r="D46" s="1365" t="s">
        <v>182</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410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411</v>
      </c>
      <c r="AO46" s="502"/>
      <c r="AP46" s="502" t="str">
        <f>IF(T46="","",T46)</f>
        <v>Источник тепловой энергии  </v>
      </c>
      <c r="AQ46" s="502"/>
      <c r="AR46" s="502"/>
      <c r="AS46" s="1157">
        <v>21</v>
      </c>
    </row>
    <row s="1644" customFormat="1" customHeight="1" ht="0">
      <c r="A47" s="1345" t="s">
        <v>179</v>
      </c>
      <c r="B47" s="1345" t="s">
        <v>180</v>
      </c>
      <c r="C47" s="1345" t="s">
        <v>181</v>
      </c>
      <c r="D47" s="1345" t="s">
        <v>182</v>
      </c>
      <c r="E47" s="2261"/>
      <c r="F47" s="2261"/>
      <c r="G47" s="2261"/>
      <c r="H47" s="2261"/>
      <c r="I47" s="2258" t="str">
        <f>S46&amp;".1"</f>
        <v>....1</v>
      </c>
      <c r="J47" s="1345"/>
      <c r="K47" s="1345"/>
      <c r="L47" s="1348" t="s">
        <v>412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179</v>
      </c>
      <c r="B48" s="1365" t="s">
        <v>180</v>
      </c>
      <c r="C48" s="1365" t="s">
        <v>181</v>
      </c>
      <c r="D48" s="1365" t="s">
        <v>182</v>
      </c>
      <c r="E48" s="2261"/>
      <c r="F48" s="2261"/>
      <c r="G48" s="2261"/>
      <c r="H48" s="2261"/>
      <c r="I48" s="2288"/>
      <c r="J48" s="2258" t="str">
        <f>S46&amp;".1"</f>
        <v>....1</v>
      </c>
      <c r="K48" s="1365"/>
      <c r="L48" s="1366" t="s">
        <v>415</v>
      </c>
      <c r="P48" s="2259"/>
      <c r="Q48" s="2259">
        <v>1</v>
      </c>
      <c r="R48" s="359"/>
      <c r="S48" s="1338" t="str">
        <f>$J48</f>
        <v>....1</v>
      </c>
      <c r="T48" s="288" t="s">
        <v>416</v>
      </c>
      <c r="U48" s="302"/>
      <c r="V48" s="2247"/>
      <c r="W48" s="2248"/>
      <c r="X48" s="2248"/>
      <c r="Y48" s="2248"/>
      <c r="Z48" s="2248"/>
      <c r="AA48" s="2248"/>
      <c r="AB48" s="2248"/>
      <c r="AC48" s="2249"/>
      <c r="AD48" s="2247"/>
      <c r="AE48" s="2248"/>
      <c r="AF48" s="2248"/>
      <c r="AG48" s="2248"/>
      <c r="AH48" s="2248"/>
      <c r="AI48" s="2248"/>
      <c r="AJ48" s="2248"/>
      <c r="AK48" s="2248"/>
      <c r="AL48" s="2249"/>
      <c r="AM48" s="1260" t="s">
        <v>417</v>
      </c>
      <c r="AO48" s="502"/>
      <c r="AP48" s="502" t="str">
        <f>IF(T48="","",T48)</f>
        <v>Группа потребителей</v>
      </c>
      <c r="AQ48" s="502"/>
      <c r="AR48" s="502"/>
      <c r="AS48" s="1157">
        <v>21</v>
      </c>
    </row>
    <row customHeight="1" ht="21.75">
      <c r="A49" s="1365" t="s">
        <v>179</v>
      </c>
      <c r="B49" s="1365" t="s">
        <v>180</v>
      </c>
      <c r="C49" s="1365" t="s">
        <v>181</v>
      </c>
      <c r="D49" s="1365" t="s">
        <v>182</v>
      </c>
      <c r="E49" s="2261"/>
      <c r="F49" s="2261"/>
      <c r="G49" s="2261"/>
      <c r="H49" s="2261"/>
      <c r="I49" s="2288"/>
      <c r="J49" s="2288"/>
      <c r="K49" s="2258" t="str">
        <f>J48&amp;".1"</f>
        <v>....1.1</v>
      </c>
      <c r="L49" s="1366" t="s">
        <v>418</v>
      </c>
      <c r="P49" s="2259"/>
      <c r="Q49" s="2259"/>
      <c r="R49" s="359">
        <v>1</v>
      </c>
      <c r="S49" s="1338" t="str">
        <f>$K49</f>
        <v>....1.1</v>
      </c>
      <c r="T49" s="1349"/>
      <c r="U49" s="302"/>
      <c r="V49" s="753"/>
      <c r="W49" s="327"/>
      <c r="X49" s="753"/>
      <c r="Y49" s="1259"/>
      <c r="Z49" s="2267"/>
      <c r="AA49" s="2109" t="s">
        <v>68</v>
      </c>
      <c r="AB49" s="2267"/>
      <c r="AC49" s="2109" t="s">
        <v>68</v>
      </c>
      <c r="AD49" s="753"/>
      <c r="AE49" s="327"/>
      <c r="AF49" s="753"/>
      <c r="AG49" s="1259"/>
      <c r="AH49" s="2267"/>
      <c r="AI49" s="2109" t="s">
        <v>68</v>
      </c>
      <c r="AJ49" s="2289"/>
      <c r="AK49" s="2109" t="s">
        <v>68</v>
      </c>
      <c r="AL49" s="1350"/>
      <c r="AM49" s="2255" t="s">
        <v>459</v>
      </c>
      <c r="AN49" s="513">
        <f>STRCHECKDATE(V50:AL50)</f>
      </c>
      <c r="AO49" s="502"/>
      <c r="AP49" s="502" t="str">
        <f>IF(T49="","",T49)</f>
        <v/>
      </c>
      <c r="AQ49" s="502"/>
      <c r="AR49" s="502"/>
      <c r="AS49" s="1157">
        <v>21</v>
      </c>
    </row>
    <row customHeight="1" ht="0.75">
      <c r="A50" s="1365" t="s">
        <v>179</v>
      </c>
      <c r="B50" s="1365" t="s">
        <v>180</v>
      </c>
      <c r="C50" s="1365" t="s">
        <v>181</v>
      </c>
      <c r="D50" s="1365" t="s">
        <v>182</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179</v>
      </c>
      <c r="B51" s="1365" t="s">
        <v>180</v>
      </c>
      <c r="C51" s="1365" t="s">
        <v>181</v>
      </c>
      <c r="D51" s="1365" t="s">
        <v>182</v>
      </c>
      <c r="E51" s="2261"/>
      <c r="F51" s="2261"/>
      <c r="G51" s="2261"/>
      <c r="H51" s="2261"/>
      <c r="I51" s="2288"/>
      <c r="J51" s="2258"/>
      <c r="K51" s="1365"/>
      <c r="L51" s="1366"/>
      <c r="P51" s="2259"/>
      <c r="Q51" s="2259"/>
      <c r="R51" s="358"/>
      <c r="S51" s="1280"/>
      <c r="T51" s="289" t="s">
        <v>420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179</v>
      </c>
      <c r="B52" s="1365" t="s">
        <v>180</v>
      </c>
      <c r="C52" s="1365" t="s">
        <v>181</v>
      </c>
      <c r="D52" s="1365" t="s">
        <v>182</v>
      </c>
      <c r="E52" s="2261"/>
      <c r="F52" s="2261"/>
      <c r="G52" s="2261"/>
      <c r="H52" s="2261"/>
      <c r="I52" s="2258"/>
      <c r="J52" s="1365"/>
      <c r="K52" s="1365"/>
      <c r="L52" s="1366"/>
      <c r="P52" s="2259"/>
      <c r="Q52" s="1333"/>
      <c r="R52" s="358"/>
      <c r="S52" s="1280"/>
      <c r="T52" s="367" t="s">
        <v>421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179</v>
      </c>
      <c r="B53" s="1365" t="s">
        <v>180</v>
      </c>
      <c r="C53" s="1365" t="s">
        <v>181</v>
      </c>
      <c r="D53" s="1365" t="s">
        <v>182</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179</v>
      </c>
      <c r="B54" s="1345" t="s">
        <v>180</v>
      </c>
      <c r="C54" s="1345" t="s">
        <v>181</v>
      </c>
      <c r="D54" s="1316"/>
      <c r="E54" s="2261"/>
      <c r="F54" s="2261"/>
      <c r="G54" s="2260"/>
      <c r="H54" s="1316"/>
      <c r="I54" s="1316"/>
      <c r="J54" s="1316"/>
      <c r="K54" s="1316"/>
      <c r="L54" s="1341"/>
      <c r="M54" s="1317"/>
      <c r="N54" s="1317"/>
      <c r="P54" s="1318"/>
      <c r="Q54" s="1319"/>
      <c r="R54" s="1318"/>
      <c r="S54" s="1324"/>
      <c r="T54" s="1327" t="s">
        <v>172</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179</v>
      </c>
      <c r="B55" s="1345" t="s">
        <v>180</v>
      </c>
      <c r="C55" s="1316"/>
      <c r="D55" s="1316"/>
      <c r="E55" s="2261"/>
      <c r="F55" s="2260"/>
      <c r="G55" s="1316"/>
      <c r="H55" s="1316"/>
      <c r="I55" s="1316"/>
      <c r="J55" s="1316"/>
      <c r="K55" s="1316"/>
      <c r="L55" s="1341"/>
      <c r="M55" s="1323"/>
      <c r="N55" s="1323"/>
      <c r="P55" s="1318"/>
      <c r="Q55" s="1319"/>
      <c r="R55" s="1318"/>
      <c r="S55" s="1324"/>
      <c r="T55" s="1327" t="s">
        <v>173</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179</v>
      </c>
      <c r="B56" s="1345"/>
      <c r="C56" s="1345"/>
      <c r="D56" s="1345"/>
      <c r="E56" s="2260"/>
      <c r="F56" s="1345"/>
      <c r="G56" s="1345"/>
      <c r="H56" s="1345"/>
      <c r="I56" s="1345"/>
      <c r="J56" s="1345"/>
      <c r="K56" s="1345"/>
      <c r="L56" s="1348"/>
      <c r="M56" s="1323"/>
      <c r="N56" s="1323"/>
      <c r="O56" s="520"/>
      <c r="P56" s="382"/>
      <c r="Q56" s="1346"/>
      <c r="R56" s="382"/>
      <c r="S56" s="1324"/>
      <c r="T56" s="1327" t="s">
        <v>174</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175</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84</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5C6E1E-9459-8C77-367C-0.AEA871FF}"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408</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409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410</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411</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412</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415</v>
      </c>
      <c r="M7" s="539"/>
      <c r="N7" s="1368"/>
      <c r="P7" s="2259"/>
      <c r="Q7" s="2259">
        <v>1</v>
      </c>
      <c r="R7" s="1644"/>
      <c r="S7" s="2009">
        <f>$J7</f>
      </c>
      <c r="T7" s="288" t="s">
        <v>416</v>
      </c>
      <c r="U7" s="302"/>
      <c r="V7" s="2307"/>
      <c r="W7" s="2307"/>
      <c r="X7" s="2307"/>
      <c r="Y7" s="2307"/>
      <c r="Z7" s="2307"/>
      <c r="AA7" s="2307"/>
      <c r="AB7" s="2307"/>
      <c r="AC7" s="2307"/>
      <c r="AD7" s="2307"/>
      <c r="AE7" s="2307"/>
      <c r="AF7" s="2307"/>
      <c r="AG7" s="2307"/>
      <c r="AH7" s="2307"/>
      <c r="AI7" s="2307"/>
      <c r="AJ7" s="2307"/>
      <c r="AK7" s="2307"/>
      <c r="AL7" s="2307"/>
      <c r="AM7" s="2012" t="s">
        <v>417</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418</v>
      </c>
      <c r="M8" s="539"/>
      <c r="N8" s="1368"/>
      <c r="O8" s="1368"/>
      <c r="P8" s="2259"/>
      <c r="Q8" s="2259"/>
      <c r="R8" s="359">
        <v>1</v>
      </c>
      <c r="S8" s="2011">
        <f>$K8</f>
      </c>
      <c r="T8" s="2016"/>
      <c r="U8" s="2017"/>
      <c r="V8" s="2018"/>
      <c r="W8" s="1351"/>
      <c r="X8" s="2018"/>
      <c r="Y8" s="2019"/>
      <c r="Z8" s="2308"/>
      <c r="AA8" s="2114" t="s">
        <v>68</v>
      </c>
      <c r="AB8" s="2308"/>
      <c r="AC8" s="2114" t="s">
        <v>68</v>
      </c>
      <c r="AD8" s="2018"/>
      <c r="AE8" s="1351"/>
      <c r="AF8" s="2018"/>
      <c r="AG8" s="2019"/>
      <c r="AH8" s="2308"/>
      <c r="AI8" s="2114" t="s">
        <v>68</v>
      </c>
      <c r="AJ8" s="2308"/>
      <c r="AK8" s="2114" t="s">
        <v>68</v>
      </c>
      <c r="AL8" s="1351"/>
      <c r="AM8" s="2255" t="s">
        <v>419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420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421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172</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173</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174</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68</v>
      </c>
      <c r="AJ17" s="2269"/>
      <c r="AK17" s="2270" t="s">
        <v>68</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423</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424</v>
      </c>
      <c r="P22" s="1364"/>
      <c r="Q22" s="1373"/>
      <c r="R22" s="1373"/>
      <c r="S22" s="731"/>
      <c r="T22" s="1162" t="s">
        <v>425</v>
      </c>
      <c r="AA22" s="188" t="s">
        <v>426</v>
      </c>
      <c r="AC22" s="188" t="s">
        <v>427</v>
      </c>
      <c r="AD22" s="1162" t="s">
        <v>425</v>
      </c>
      <c r="AI22" s="188" t="s">
        <v>428</v>
      </c>
      <c r="AK22" s="188" t="s">
        <v>427</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43</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429</v>
      </c>
      <c r="T30" s="2252"/>
      <c r="U30" s="1374"/>
      <c r="V30" s="2266" t="str">
        <f>IF(TITLE_DATE_PR_CHANGE="",IF(TITLE_DATE_PR="","",TITLE_DATE_PR),TITLE_DATE_PR_CHANGE)</f>
        <v>46141.35650462963</v>
      </c>
      <c r="W30" s="2266"/>
      <c r="X30" s="2266"/>
      <c r="Y30" s="2266"/>
      <c r="Z30" s="2266"/>
      <c r="AA30" s="2266"/>
      <c r="AB30" s="2266"/>
      <c r="AC30" s="328"/>
      <c r="AD30" s="2266" t="str">
        <f>IF(TITLE_DATE_PR_CHANGE="",IF(TITLE_DATE_PR="","",TITLE_DATE_PR),TITLE_DATE_PR_CHANGE)</f>
        <v>46141.35650462963</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430</v>
      </c>
      <c r="T31" s="2252"/>
      <c r="U31" s="1374"/>
      <c r="V31" s="2253" t="str">
        <f>IF(TITLE_NUMBER_PR_CHANGE="",IF(TITLE_NUMBER_PR="","",TITLE_NUMBER_PR),TITLE_NUMBER_PR_CHANGE)</f>
        <v>вх. О-1106 (исх. №382 от 29.04.2026)</v>
      </c>
      <c r="W31" s="2253"/>
      <c r="X31" s="2253"/>
      <c r="Y31" s="2253"/>
      <c r="Z31" s="2253"/>
      <c r="AA31" s="2253"/>
      <c r="AB31" s="2253"/>
      <c r="AC31" s="328"/>
      <c r="AD31" s="2253" t="str">
        <f>IF(TITLE_NUMBER_PR_CHANGE="",IF(TITLE_NUMBER_PR="","",TITLE_NUMBER_PR),TITLE_NUMBER_PR_CHANGE)</f>
        <v>вх. О-1106 (исх. №382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44</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431</v>
      </c>
      <c r="T34" s="2252"/>
      <c r="U34" s="1374"/>
      <c r="V34" s="2266" t="str">
        <f>IF(TITLE_DATE_PR_CHANGE="",IF(TITLE_DATE_PR="","",TITLE_DATE_PR),TITLE_DATE_PR_CHANGE)</f>
        <v>46141.35650462963</v>
      </c>
      <c r="W34" s="2266"/>
      <c r="X34" s="2266"/>
      <c r="Y34" s="2266"/>
      <c r="Z34" s="2266"/>
      <c r="AA34" s="2266"/>
      <c r="AB34" s="2266"/>
      <c r="AC34" s="328"/>
      <c r="AD34" s="2266" t="str">
        <f>IF(TITLE_DATE_PR_CHANGE="",IF(TITLE_DATE_PR="","",TITLE_DATE_PR),TITLE_DATE_PR_CHANGE)</f>
        <v>46141.35650462963</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432</v>
      </c>
      <c r="T35" s="2252"/>
      <c r="U35" s="1374"/>
      <c r="V35" s="2253" t="str">
        <f>IF(TITLE_NUMBER_PR_CHANGE="",IF(TITLE_NUMBER_PR="","",TITLE_NUMBER_PR),TITLE_NUMBER_PR_CHANGE)</f>
        <v>вх. О-1106 (исх. №382 от 29.04.2026)</v>
      </c>
      <c r="W35" s="2253"/>
      <c r="X35" s="2253"/>
      <c r="Y35" s="2253"/>
      <c r="Z35" s="2253"/>
      <c r="AA35" s="2253"/>
      <c r="AB35" s="2253"/>
      <c r="AC35" s="328"/>
      <c r="AD35" s="2253" t="str">
        <f>IF(TITLE_NUMBER_PR_CHANGE="",IF(TITLE_NUMBER_PR="","",TITLE_NUMBER_PR),TITLE_NUMBER_PR_CHANGE)</f>
        <v>вх. О-1106 (исх. №382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433</v>
      </c>
      <c r="AD36" s="328"/>
      <c r="AE36" s="328"/>
      <c r="AF36" s="328"/>
      <c r="AG36" s="328"/>
      <c r="AH36" s="328"/>
      <c r="AI36" s="328"/>
      <c r="AJ36" s="328"/>
      <c r="AK36" s="280" t="s">
        <v>433</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310</v>
      </c>
      <c r="AS38" s="1157">
        <v>14</v>
      </c>
    </row>
    <row customHeight="1" ht="15">
      <c r="Q39" s="378"/>
      <c r="R39" s="378"/>
      <c r="S39" s="2275" t="s">
        <v>90</v>
      </c>
      <c r="T39" s="2211" t="s">
        <v>434</v>
      </c>
      <c r="U39" s="303"/>
      <c r="V39" s="2276" t="s">
        <v>435</v>
      </c>
      <c r="W39" s="2277"/>
      <c r="X39" s="2277"/>
      <c r="Y39" s="2277"/>
      <c r="Z39" s="2277"/>
      <c r="AA39" s="2277"/>
      <c r="AB39" s="2278"/>
      <c r="AC39" s="2279" t="s">
        <v>436</v>
      </c>
      <c r="AD39" s="2276" t="s">
        <v>435</v>
      </c>
      <c r="AE39" s="2277"/>
      <c r="AF39" s="2277"/>
      <c r="AG39" s="2277"/>
      <c r="AH39" s="2277"/>
      <c r="AI39" s="2277"/>
      <c r="AJ39" s="2278"/>
      <c r="AK39" s="2279" t="s">
        <v>437</v>
      </c>
      <c r="AL39" s="2282" t="s">
        <v>438</v>
      </c>
      <c r="AM39" s="2129"/>
      <c r="AS39" s="1157">
        <v>14</v>
      </c>
    </row>
    <row customHeight="1" ht="36">
      <c r="Q40" s="378"/>
      <c r="R40" s="378"/>
      <c r="S40" s="2275"/>
      <c r="T40" s="2211"/>
      <c r="U40" s="1033"/>
      <c r="V40" s="2262" t="s">
        <v>439</v>
      </c>
      <c r="W40" s="2285"/>
      <c r="X40" s="2264" t="s">
        <v>441</v>
      </c>
      <c r="Y40" s="2265"/>
      <c r="Z40" s="2264" t="s">
        <v>442</v>
      </c>
      <c r="AA40" s="2271"/>
      <c r="AB40" s="2265"/>
      <c r="AC40" s="2280"/>
      <c r="AD40" s="2262" t="s">
        <v>458</v>
      </c>
      <c r="AE40" s="2285"/>
      <c r="AF40" s="2264" t="s">
        <v>441</v>
      </c>
      <c r="AG40" s="2265"/>
      <c r="AH40" s="2264" t="s">
        <v>442</v>
      </c>
      <c r="AI40" s="2271"/>
      <c r="AJ40" s="2265"/>
      <c r="AK40" s="2280"/>
      <c r="AL40" s="2283"/>
      <c r="AM40" s="2129"/>
      <c r="AS40" s="1157">
        <v>34</v>
      </c>
    </row>
    <row customHeight="1" ht="36">
      <c r="A41" s="1372"/>
      <c r="B41" s="1372" t="s">
        <v>137</v>
      </c>
      <c r="C41" s="1372" t="s">
        <v>138</v>
      </c>
      <c r="D41" s="1372" t="s">
        <v>139</v>
      </c>
      <c r="E41" s="1366" t="s">
        <v>443</v>
      </c>
      <c r="F41" s="1366" t="s">
        <v>444</v>
      </c>
      <c r="G41" s="1366" t="s">
        <v>445</v>
      </c>
      <c r="H41" s="1366" t="s">
        <v>446</v>
      </c>
      <c r="I41" s="1366" t="s">
        <v>447</v>
      </c>
      <c r="J41" s="1366" t="s">
        <v>448</v>
      </c>
      <c r="K41" s="1366" t="s">
        <v>449</v>
      </c>
      <c r="L41" s="1366" t="s">
        <v>424</v>
      </c>
      <c r="Q41" s="378"/>
      <c r="R41" s="378"/>
      <c r="S41" s="2275"/>
      <c r="T41" s="2211"/>
      <c r="U41" s="304"/>
      <c r="V41" s="2263"/>
      <c r="W41" s="2286"/>
      <c r="X41" s="1224" t="s">
        <v>450</v>
      </c>
      <c r="Y41" s="1224" t="s">
        <v>451</v>
      </c>
      <c r="Z41" s="1340" t="s">
        <v>452</v>
      </c>
      <c r="AA41" s="2272" t="s">
        <v>453</v>
      </c>
      <c r="AB41" s="2273"/>
      <c r="AC41" s="2281"/>
      <c r="AD41" s="2263"/>
      <c r="AE41" s="2286"/>
      <c r="AF41" s="1224" t="s">
        <v>450</v>
      </c>
      <c r="AG41" s="1224" t="s">
        <v>451</v>
      </c>
      <c r="AH41" s="1340" t="s">
        <v>452</v>
      </c>
      <c r="AI41" s="2272" t="s">
        <v>453</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111</v>
      </c>
      <c r="T42" s="1257" t="s">
        <v>112</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191</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191</v>
      </c>
      <c r="B44" s="1365" t="s">
        <v>192</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407</v>
      </c>
      <c r="AO44" s="502"/>
      <c r="AP44" s="502" t="str">
        <f>IF(T44="","",T44)</f>
        <v>Территория действия тарифа</v>
      </c>
      <c r="AQ44" s="502"/>
      <c r="AR44" s="502"/>
      <c r="AS44" s="1157">
        <v>21</v>
      </c>
    </row>
    <row customHeight="1" ht="24">
      <c r="A45" s="1365" t="s">
        <v>191</v>
      </c>
      <c r="B45" s="1365" t="s">
        <v>192</v>
      </c>
      <c r="C45" s="1365" t="s">
        <v>193</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409</v>
      </c>
      <c r="AO45" s="502"/>
      <c r="AP45" s="502" t="str">
        <f>IF(T45="","",T45)</f>
        <v>Наименование системы теплоснабжения </v>
      </c>
      <c r="AQ45" s="502"/>
      <c r="AR45" s="502"/>
      <c r="AS45" s="1157">
        <v>23</v>
      </c>
    </row>
    <row customHeight="1" ht="21.75">
      <c r="A46" s="1365" t="s">
        <v>191</v>
      </c>
      <c r="B46" s="1365" t="s">
        <v>192</v>
      </c>
      <c r="C46" s="1365" t="s">
        <v>193</v>
      </c>
      <c r="D46" s="1365" t="s">
        <v>194</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410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411</v>
      </c>
      <c r="AO46" s="502"/>
      <c r="AP46" s="502" t="str">
        <f>IF(T46="","",T46)</f>
        <v>Источник тепловой энергии  </v>
      </c>
      <c r="AQ46" s="502"/>
      <c r="AR46" s="502"/>
      <c r="AS46" s="1157">
        <v>21</v>
      </c>
    </row>
    <row s="1644" customFormat="1" customHeight="1" ht="0">
      <c r="A47" s="1345" t="s">
        <v>191</v>
      </c>
      <c r="B47" s="1345" t="s">
        <v>192</v>
      </c>
      <c r="C47" s="1345" t="s">
        <v>193</v>
      </c>
      <c r="D47" s="1345" t="s">
        <v>194</v>
      </c>
      <c r="E47" s="2261"/>
      <c r="F47" s="2261"/>
      <c r="G47" s="2261"/>
      <c r="H47" s="2261"/>
      <c r="I47" s="2258" t="str">
        <f>S46&amp;".1"</f>
        <v>....1</v>
      </c>
      <c r="J47" s="1345"/>
      <c r="K47" s="1345"/>
      <c r="L47" s="1348" t="s">
        <v>412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191</v>
      </c>
      <c r="B48" s="1365" t="s">
        <v>192</v>
      </c>
      <c r="C48" s="1365" t="s">
        <v>193</v>
      </c>
      <c r="D48" s="1365" t="s">
        <v>194</v>
      </c>
      <c r="E48" s="2261"/>
      <c r="F48" s="2261"/>
      <c r="G48" s="2261"/>
      <c r="H48" s="2261"/>
      <c r="I48" s="2288"/>
      <c r="J48" s="2258" t="str">
        <f>S46&amp;".1"</f>
        <v>....1</v>
      </c>
      <c r="K48" s="1365"/>
      <c r="L48" s="1366" t="s">
        <v>415</v>
      </c>
      <c r="P48" s="2259"/>
      <c r="Q48" s="2259">
        <v>1</v>
      </c>
      <c r="R48" s="359"/>
      <c r="S48" s="1338" t="str">
        <f>$J48</f>
        <v>....1</v>
      </c>
      <c r="T48" s="288" t="s">
        <v>416</v>
      </c>
      <c r="U48" s="302"/>
      <c r="V48" s="2247"/>
      <c r="W48" s="2248"/>
      <c r="X48" s="2248"/>
      <c r="Y48" s="2248"/>
      <c r="Z48" s="2248"/>
      <c r="AA48" s="2248"/>
      <c r="AB48" s="2248"/>
      <c r="AC48" s="2249"/>
      <c r="AD48" s="2247"/>
      <c r="AE48" s="2248"/>
      <c r="AF48" s="2248"/>
      <c r="AG48" s="2248"/>
      <c r="AH48" s="2248"/>
      <c r="AI48" s="2248"/>
      <c r="AJ48" s="2248"/>
      <c r="AK48" s="2248"/>
      <c r="AL48" s="2249"/>
      <c r="AM48" s="1260" t="s">
        <v>417</v>
      </c>
      <c r="AO48" s="502"/>
      <c r="AP48" s="502" t="str">
        <f>IF(T48="","",T48)</f>
        <v>Группа потребителей</v>
      </c>
      <c r="AQ48" s="502"/>
      <c r="AR48" s="502"/>
      <c r="AS48" s="1157">
        <v>21</v>
      </c>
    </row>
    <row customHeight="1" ht="21.75">
      <c r="A49" s="1365" t="s">
        <v>191</v>
      </c>
      <c r="B49" s="1365" t="s">
        <v>192</v>
      </c>
      <c r="C49" s="1365" t="s">
        <v>193</v>
      </c>
      <c r="D49" s="1365" t="s">
        <v>194</v>
      </c>
      <c r="E49" s="2261"/>
      <c r="F49" s="2261"/>
      <c r="G49" s="2261"/>
      <c r="H49" s="2261"/>
      <c r="I49" s="2288"/>
      <c r="J49" s="2288"/>
      <c r="K49" s="2258" t="str">
        <f>J48&amp;".1"</f>
        <v>....1.1</v>
      </c>
      <c r="L49" s="1366" t="s">
        <v>418</v>
      </c>
      <c r="P49" s="2259"/>
      <c r="Q49" s="2259"/>
      <c r="R49" s="359">
        <v>1</v>
      </c>
      <c r="S49" s="1338" t="str">
        <f>$K49</f>
        <v>....1.1</v>
      </c>
      <c r="T49" s="1349"/>
      <c r="U49" s="302"/>
      <c r="V49" s="753"/>
      <c r="W49" s="327"/>
      <c r="X49" s="753"/>
      <c r="Y49" s="1259"/>
      <c r="Z49" s="2267"/>
      <c r="AA49" s="2109" t="s">
        <v>68</v>
      </c>
      <c r="AB49" s="2267"/>
      <c r="AC49" s="2109" t="s">
        <v>68</v>
      </c>
      <c r="AD49" s="753"/>
      <c r="AE49" s="327"/>
      <c r="AF49" s="753"/>
      <c r="AG49" s="1259"/>
      <c r="AH49" s="2267"/>
      <c r="AI49" s="2109" t="s">
        <v>68</v>
      </c>
      <c r="AJ49" s="2289"/>
      <c r="AK49" s="2109" t="s">
        <v>68</v>
      </c>
      <c r="AL49" s="1350"/>
      <c r="AM49" s="2255" t="s">
        <v>459</v>
      </c>
      <c r="AN49" s="513">
        <f>STRCHECKDATE(V50:AL50)</f>
      </c>
      <c r="AO49" s="502"/>
      <c r="AP49" s="502" t="str">
        <f>IF(T49="","",T49)</f>
        <v/>
      </c>
      <c r="AQ49" s="502"/>
      <c r="AR49" s="502"/>
      <c r="AS49" s="1157">
        <v>21</v>
      </c>
    </row>
    <row customHeight="1" ht="0.75">
      <c r="A50" s="1365" t="s">
        <v>191</v>
      </c>
      <c r="B50" s="1365" t="s">
        <v>192</v>
      </c>
      <c r="C50" s="1365" t="s">
        <v>193</v>
      </c>
      <c r="D50" s="1365" t="s">
        <v>194</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191</v>
      </c>
      <c r="B51" s="1365" t="s">
        <v>192</v>
      </c>
      <c r="C51" s="1365" t="s">
        <v>193</v>
      </c>
      <c r="D51" s="1365" t="s">
        <v>194</v>
      </c>
      <c r="E51" s="2261"/>
      <c r="F51" s="2261"/>
      <c r="G51" s="2261"/>
      <c r="H51" s="2261"/>
      <c r="I51" s="2288"/>
      <c r="J51" s="2258"/>
      <c r="K51" s="1365"/>
      <c r="L51" s="1366"/>
      <c r="P51" s="2259"/>
      <c r="Q51" s="2259"/>
      <c r="R51" s="358"/>
      <c r="S51" s="1280"/>
      <c r="T51" s="289" t="s">
        <v>420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191</v>
      </c>
      <c r="B52" s="1365" t="s">
        <v>192</v>
      </c>
      <c r="C52" s="1365" t="s">
        <v>193</v>
      </c>
      <c r="D52" s="1365" t="s">
        <v>194</v>
      </c>
      <c r="E52" s="2261"/>
      <c r="F52" s="2261"/>
      <c r="G52" s="2261"/>
      <c r="H52" s="2261"/>
      <c r="I52" s="2258"/>
      <c r="J52" s="1365"/>
      <c r="K52" s="1365"/>
      <c r="L52" s="1366"/>
      <c r="P52" s="2259"/>
      <c r="Q52" s="1333"/>
      <c r="R52" s="358"/>
      <c r="S52" s="1280"/>
      <c r="T52" s="367" t="s">
        <v>421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191</v>
      </c>
      <c r="B53" s="1365" t="s">
        <v>192</v>
      </c>
      <c r="C53" s="1365" t="s">
        <v>193</v>
      </c>
      <c r="D53" s="1365" t="s">
        <v>194</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191</v>
      </c>
      <c r="B54" s="1345" t="s">
        <v>192</v>
      </c>
      <c r="C54" s="1345" t="s">
        <v>193</v>
      </c>
      <c r="D54" s="1316"/>
      <c r="E54" s="2261"/>
      <c r="F54" s="2261"/>
      <c r="G54" s="2260"/>
      <c r="H54" s="1316"/>
      <c r="I54" s="1316"/>
      <c r="J54" s="1316"/>
      <c r="K54" s="1316"/>
      <c r="L54" s="1341"/>
      <c r="M54" s="1317"/>
      <c r="N54" s="1317"/>
      <c r="P54" s="1318"/>
      <c r="Q54" s="1319"/>
      <c r="R54" s="1318"/>
      <c r="S54" s="1324"/>
      <c r="T54" s="1327" t="s">
        <v>172</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191</v>
      </c>
      <c r="B55" s="1345" t="s">
        <v>192</v>
      </c>
      <c r="C55" s="1316"/>
      <c r="D55" s="1316"/>
      <c r="E55" s="2261"/>
      <c r="F55" s="2260"/>
      <c r="G55" s="1316"/>
      <c r="H55" s="1316"/>
      <c r="I55" s="1316"/>
      <c r="J55" s="1316"/>
      <c r="K55" s="1316"/>
      <c r="L55" s="1341"/>
      <c r="M55" s="1323"/>
      <c r="N55" s="1323"/>
      <c r="P55" s="1318"/>
      <c r="Q55" s="1319"/>
      <c r="R55" s="1318"/>
      <c r="S55" s="1324"/>
      <c r="T55" s="1327" t="s">
        <v>173</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191</v>
      </c>
      <c r="B56" s="1345"/>
      <c r="C56" s="1345"/>
      <c r="D56" s="1345"/>
      <c r="E56" s="2260"/>
      <c r="F56" s="1345"/>
      <c r="G56" s="1345"/>
      <c r="H56" s="1345"/>
      <c r="I56" s="1345"/>
      <c r="J56" s="1345"/>
      <c r="K56" s="1345"/>
      <c r="L56" s="1348"/>
      <c r="M56" s="1323"/>
      <c r="N56" s="1323"/>
      <c r="O56" s="520"/>
      <c r="P56" s="382"/>
      <c r="Q56" s="1346"/>
      <c r="R56" s="382"/>
      <c r="S56" s="1324"/>
      <c r="T56" s="1327" t="s">
        <v>174</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175</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84</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AFF008-59AD-CD37-15DB-0.60C7D76B}"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410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411</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412</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415</v>
      </c>
      <c r="M7" s="539"/>
      <c r="N7" s="1368"/>
      <c r="P7" s="2259"/>
      <c r="Q7" s="2259">
        <v>1</v>
      </c>
      <c r="R7" s="359"/>
      <c r="S7" s="1338">
        <f>$J7</f>
      </c>
      <c r="T7" s="288" t="s">
        <v>416</v>
      </c>
      <c r="U7" s="302"/>
      <c r="V7" s="2247"/>
      <c r="W7" s="2248"/>
      <c r="X7" s="2248"/>
      <c r="Y7" s="2248"/>
      <c r="Z7" s="2248"/>
      <c r="AA7" s="2248"/>
      <c r="AB7" s="2248"/>
      <c r="AC7" s="2249"/>
      <c r="AD7" s="2247"/>
      <c r="AE7" s="2248"/>
      <c r="AF7" s="2248"/>
      <c r="AG7" s="2248"/>
      <c r="AH7" s="2248"/>
      <c r="AI7" s="2248"/>
      <c r="AJ7" s="2248"/>
      <c r="AK7" s="2248"/>
      <c r="AL7" s="2249"/>
      <c r="AM7" s="1260" t="s">
        <v>417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418</v>
      </c>
      <c r="M8" s="539"/>
      <c r="N8" s="1368"/>
      <c r="O8" s="1368"/>
      <c r="P8" s="2259"/>
      <c r="Q8" s="2259"/>
      <c r="R8" s="359">
        <v>1</v>
      </c>
      <c r="S8" s="1338">
        <f>$K8</f>
      </c>
      <c r="T8" s="1349"/>
      <c r="U8" s="302"/>
      <c r="V8" s="753"/>
      <c r="W8" s="327"/>
      <c r="X8" s="753"/>
      <c r="Y8" s="1259"/>
      <c r="Z8" s="2267"/>
      <c r="AA8" s="2109" t="s">
        <v>68</v>
      </c>
      <c r="AB8" s="2267"/>
      <c r="AC8" s="2109" t="s">
        <v>68</v>
      </c>
      <c r="AD8" s="753"/>
      <c r="AE8" s="327"/>
      <c r="AF8" s="753"/>
      <c r="AG8" s="1259"/>
      <c r="AH8" s="2267"/>
      <c r="AI8" s="2109" t="s">
        <v>68</v>
      </c>
      <c r="AJ8" s="2267"/>
      <c r="AK8" s="2109" t="s">
        <v>68</v>
      </c>
      <c r="AL8" s="327"/>
      <c r="AM8" s="2255" t="s">
        <v>419</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420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421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172</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173</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174</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68</v>
      </c>
      <c r="AJ17" s="2269"/>
      <c r="AK17" s="2270" t="s">
        <v>68</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423</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424</v>
      </c>
      <c r="P22" s="1364"/>
      <c r="Q22" s="1373"/>
      <c r="R22" s="1373"/>
      <c r="S22" s="731"/>
      <c r="T22" s="1162" t="s">
        <v>425</v>
      </c>
      <c r="AA22" s="188" t="s">
        <v>426</v>
      </c>
      <c r="AC22" s="188" t="s">
        <v>427</v>
      </c>
      <c r="AD22" s="1162" t="s">
        <v>425</v>
      </c>
      <c r="AI22" s="188" t="s">
        <v>428</v>
      </c>
      <c r="AK22" s="188" t="s">
        <v>427</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43</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429</v>
      </c>
      <c r="T30" s="2252"/>
      <c r="U30" s="1374"/>
      <c r="V30" s="2266" t="str">
        <f>IF(TITLE_DATE_PR_CHANGE="",IF(TITLE_DATE_PR="","",TITLE_DATE_PR),TITLE_DATE_PR_CHANGE)</f>
        <v>46141.35650462963</v>
      </c>
      <c r="W30" s="2266"/>
      <c r="X30" s="2266"/>
      <c r="Y30" s="2266"/>
      <c r="Z30" s="2266"/>
      <c r="AA30" s="2266"/>
      <c r="AB30" s="2266"/>
      <c r="AC30" s="328"/>
      <c r="AD30" s="2266" t="str">
        <f>IF(TITLE_DATE_PR_CHANGE="",IF(TITLE_DATE_PR="","",TITLE_DATE_PR),TITLE_DATE_PR_CHANGE)</f>
        <v>46141.35650462963</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430</v>
      </c>
      <c r="T31" s="2252"/>
      <c r="U31" s="1374"/>
      <c r="V31" s="2253" t="str">
        <f>IF(TITLE_NUMBER_PR_CHANGE="",IF(TITLE_NUMBER_PR="","",TITLE_NUMBER_PR),TITLE_NUMBER_PR_CHANGE)</f>
        <v>вх. О-1106 (исх. №382 от 29.04.2026)</v>
      </c>
      <c r="W31" s="2253"/>
      <c r="X31" s="2253"/>
      <c r="Y31" s="2253"/>
      <c r="Z31" s="2253"/>
      <c r="AA31" s="2253"/>
      <c r="AB31" s="2253"/>
      <c r="AC31" s="328"/>
      <c r="AD31" s="2253" t="str">
        <f>IF(TITLE_NUMBER_PR_CHANGE="",IF(TITLE_NUMBER_PR="","",TITLE_NUMBER_PR),TITLE_NUMBER_PR_CHANGE)</f>
        <v>вх. О-1106 (исх. №382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44</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431</v>
      </c>
      <c r="T34" s="2252"/>
      <c r="U34" s="1374"/>
      <c r="V34" s="2266" t="str">
        <f>IF(TITLE_DATE_PR_CHANGE="",IF(TITLE_DATE_PR="","",TITLE_DATE_PR),TITLE_DATE_PR_CHANGE)</f>
        <v>46141.35650462963</v>
      </c>
      <c r="W34" s="2266"/>
      <c r="X34" s="2266"/>
      <c r="Y34" s="2266"/>
      <c r="Z34" s="2266"/>
      <c r="AA34" s="2266"/>
      <c r="AB34" s="2266"/>
      <c r="AC34" s="328"/>
      <c r="AD34" s="2266" t="str">
        <f>IF(TITLE_DATE_PR_CHANGE="",IF(TITLE_DATE_PR="","",TITLE_DATE_PR),TITLE_DATE_PR_CHANGE)</f>
        <v>46141.35650462963</v>
      </c>
      <c r="AE34" s="2266"/>
      <c r="AF34" s="2266"/>
      <c r="AG34" s="2266"/>
      <c r="AH34" s="2266"/>
      <c r="AI34" s="2266"/>
      <c r="AJ34" s="2266"/>
      <c r="AK34" s="328"/>
      <c r="AL34" s="328"/>
      <c r="AM34" s="282"/>
      <c r="AN34" s="370"/>
      <c r="AO34" s="370"/>
      <c r="AP34" s="370"/>
      <c r="AQ34" s="370"/>
      <c r="AR34" s="370"/>
      <c r="AS34" s="420">
        <v>0</v>
      </c>
    </row>
    <row s="1855" customFormat="1" customHeight="1" ht="25.5">
      <c r="A35" s="1370"/>
      <c r="B35" s="1370"/>
      <c r="C35" s="1370"/>
      <c r="D35" s="1370"/>
      <c r="E35" s="1370"/>
      <c r="F35" s="1370"/>
      <c r="G35" s="1370"/>
      <c r="H35" s="1370"/>
      <c r="I35" s="1370"/>
      <c r="J35" s="1370"/>
      <c r="K35" s="1370"/>
      <c r="L35" s="1371"/>
      <c r="M35" s="1370"/>
      <c r="N35" s="1370"/>
      <c r="O35" s="1370"/>
      <c r="S35" s="2252" t="s">
        <v>432</v>
      </c>
      <c r="T35" s="2252"/>
      <c r="U35" s="1374"/>
      <c r="V35" s="2253" t="str">
        <f>IF(TITLE_NUMBER_PR_CHANGE="",IF(TITLE_NUMBER_PR="","",TITLE_NUMBER_PR),TITLE_NUMBER_PR_CHANGE)</f>
        <v>вх. О-1106 (исх. №382 от 29.04.2026)</v>
      </c>
      <c r="W35" s="2253"/>
      <c r="X35" s="2253"/>
      <c r="Y35" s="2253"/>
      <c r="Z35" s="2253"/>
      <c r="AA35" s="2253"/>
      <c r="AB35" s="2253"/>
      <c r="AC35" s="328"/>
      <c r="AD35" s="2253" t="str">
        <f>IF(TITLE_NUMBER_PR_CHANGE="",IF(TITLE_NUMBER_PR="","",TITLE_NUMBER_PR),TITLE_NUMBER_PR_CHANGE)</f>
        <v>вх. О-1106 (исх. №382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433</v>
      </c>
      <c r="AD36" s="328"/>
      <c r="AE36" s="328"/>
      <c r="AF36" s="328"/>
      <c r="AG36" s="328"/>
      <c r="AH36" s="328"/>
      <c r="AI36" s="328"/>
      <c r="AJ36" s="328"/>
      <c r="AK36" s="280" t="s">
        <v>433</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310</v>
      </c>
      <c r="AS38" s="1157">
        <v>14</v>
      </c>
    </row>
    <row customHeight="1" ht="15">
      <c r="Q39" s="378"/>
      <c r="R39" s="378"/>
      <c r="S39" s="2275" t="s">
        <v>90</v>
      </c>
      <c r="T39" s="2211" t="s">
        <v>434</v>
      </c>
      <c r="U39" s="303"/>
      <c r="V39" s="2276" t="s">
        <v>435</v>
      </c>
      <c r="W39" s="2277"/>
      <c r="X39" s="2277"/>
      <c r="Y39" s="2277"/>
      <c r="Z39" s="2277"/>
      <c r="AA39" s="2277"/>
      <c r="AB39" s="2278"/>
      <c r="AC39" s="2279" t="s">
        <v>436</v>
      </c>
      <c r="AD39" s="2276" t="s">
        <v>435</v>
      </c>
      <c r="AE39" s="2277"/>
      <c r="AF39" s="2277"/>
      <c r="AG39" s="2277"/>
      <c r="AH39" s="2277"/>
      <c r="AI39" s="2277"/>
      <c r="AJ39" s="2278"/>
      <c r="AK39" s="2279" t="s">
        <v>437</v>
      </c>
      <c r="AL39" s="2282" t="s">
        <v>438</v>
      </c>
      <c r="AM39" s="2129"/>
      <c r="AS39" s="1157">
        <v>14</v>
      </c>
    </row>
    <row customHeight="1" ht="36">
      <c r="Q40" s="378"/>
      <c r="R40" s="378"/>
      <c r="S40" s="2275"/>
      <c r="T40" s="2211"/>
      <c r="U40" s="1033"/>
      <c r="V40" s="2262" t="s">
        <v>439</v>
      </c>
      <c r="W40" s="2285"/>
      <c r="X40" s="2264" t="s">
        <v>441</v>
      </c>
      <c r="Y40" s="2265"/>
      <c r="Z40" s="2264" t="s">
        <v>442</v>
      </c>
      <c r="AA40" s="2271"/>
      <c r="AB40" s="2265"/>
      <c r="AC40" s="2280"/>
      <c r="AD40" s="2262" t="s">
        <v>458</v>
      </c>
      <c r="AE40" s="2285"/>
      <c r="AF40" s="2264" t="s">
        <v>441</v>
      </c>
      <c r="AG40" s="2265"/>
      <c r="AH40" s="2264" t="s">
        <v>442</v>
      </c>
      <c r="AI40" s="2271"/>
      <c r="AJ40" s="2265"/>
      <c r="AK40" s="2280"/>
      <c r="AL40" s="2283"/>
      <c r="AM40" s="2129"/>
      <c r="AS40" s="1157">
        <v>34</v>
      </c>
    </row>
    <row customHeight="1" ht="36">
      <c r="A41" s="1372"/>
      <c r="B41" s="1372" t="s">
        <v>137</v>
      </c>
      <c r="C41" s="1372" t="s">
        <v>138</v>
      </c>
      <c r="D41" s="1372" t="s">
        <v>139</v>
      </c>
      <c r="E41" s="1366" t="s">
        <v>443</v>
      </c>
      <c r="F41" s="1366" t="s">
        <v>444</v>
      </c>
      <c r="G41" s="1366" t="s">
        <v>445</v>
      </c>
      <c r="H41" s="1366" t="s">
        <v>446</v>
      </c>
      <c r="I41" s="1366" t="s">
        <v>447</v>
      </c>
      <c r="J41" s="1366" t="s">
        <v>448</v>
      </c>
      <c r="K41" s="1366" t="s">
        <v>449</v>
      </c>
      <c r="L41" s="1366" t="s">
        <v>424</v>
      </c>
      <c r="Q41" s="378"/>
      <c r="R41" s="378"/>
      <c r="S41" s="2275"/>
      <c r="T41" s="2211"/>
      <c r="U41" s="304"/>
      <c r="V41" s="2263"/>
      <c r="W41" s="2286"/>
      <c r="X41" s="1224" t="s">
        <v>450</v>
      </c>
      <c r="Y41" s="1224" t="s">
        <v>451</v>
      </c>
      <c r="Z41" s="1340" t="s">
        <v>452</v>
      </c>
      <c r="AA41" s="2272" t="s">
        <v>453</v>
      </c>
      <c r="AB41" s="2273"/>
      <c r="AC41" s="2281"/>
      <c r="AD41" s="2263"/>
      <c r="AE41" s="2286"/>
      <c r="AF41" s="1224" t="s">
        <v>450</v>
      </c>
      <c r="AG41" s="1224" t="s">
        <v>451</v>
      </c>
      <c r="AH41" s="1340" t="s">
        <v>452</v>
      </c>
      <c r="AI41" s="2272" t="s">
        <v>453</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111</v>
      </c>
      <c r="T42" s="1257" t="s">
        <v>112</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197</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197</v>
      </c>
      <c r="B44" s="1365" t="s">
        <v>198</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407</v>
      </c>
      <c r="AO44" s="502"/>
      <c r="AP44" s="502" t="str">
        <f>IF(T44="","",T44)</f>
        <v>Территория действия тарифа</v>
      </c>
      <c r="AQ44" s="502"/>
      <c r="AR44" s="502"/>
      <c r="AS44" s="1157">
        <v>21</v>
      </c>
    </row>
    <row customHeight="1" ht="24">
      <c r="A45" s="1365" t="s">
        <v>197</v>
      </c>
      <c r="B45" s="1365" t="s">
        <v>198</v>
      </c>
      <c r="C45" s="1365" t="s">
        <v>199</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409</v>
      </c>
      <c r="AO45" s="502"/>
      <c r="AP45" s="502" t="str">
        <f>IF(T45="","",T45)</f>
        <v>Наименование системы теплоснабжения </v>
      </c>
      <c r="AQ45" s="502"/>
      <c r="AR45" s="502"/>
      <c r="AS45" s="1157">
        <v>23</v>
      </c>
    </row>
    <row customHeight="1" ht="21.75">
      <c r="A46" s="1365" t="s">
        <v>197</v>
      </c>
      <c r="B46" s="1365" t="s">
        <v>198</v>
      </c>
      <c r="C46" s="1365" t="s">
        <v>199</v>
      </c>
      <c r="D46" s="1365" t="s">
        <v>200</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410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411</v>
      </c>
      <c r="AO46" s="502"/>
      <c r="AP46" s="502" t="str">
        <f>IF(T46="","",T46)</f>
        <v>Источник тепловой энергии  </v>
      </c>
      <c r="AQ46" s="502"/>
      <c r="AR46" s="502"/>
      <c r="AS46" s="1157">
        <v>21</v>
      </c>
    </row>
    <row s="1644" customFormat="1" customHeight="1" ht="0">
      <c r="A47" s="1345" t="s">
        <v>197</v>
      </c>
      <c r="B47" s="1345" t="s">
        <v>198</v>
      </c>
      <c r="C47" s="1345" t="s">
        <v>199</v>
      </c>
      <c r="D47" s="1345" t="s">
        <v>200</v>
      </c>
      <c r="E47" s="2261"/>
      <c r="F47" s="2261"/>
      <c r="G47" s="2261"/>
      <c r="H47" s="2261"/>
      <c r="I47" s="2258" t="str">
        <f>S46&amp;".1"</f>
        <v>....1</v>
      </c>
      <c r="J47" s="1345"/>
      <c r="K47" s="1345"/>
      <c r="L47" s="1348" t="s">
        <v>412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197</v>
      </c>
      <c r="B48" s="1365" t="s">
        <v>198</v>
      </c>
      <c r="C48" s="1365" t="s">
        <v>199</v>
      </c>
      <c r="D48" s="1365" t="s">
        <v>200</v>
      </c>
      <c r="E48" s="2261"/>
      <c r="F48" s="2261"/>
      <c r="G48" s="2261"/>
      <c r="H48" s="2261"/>
      <c r="I48" s="2288"/>
      <c r="J48" s="2258" t="str">
        <f>S46&amp;".1"</f>
        <v>....1</v>
      </c>
      <c r="K48" s="1365"/>
      <c r="L48" s="1366" t="s">
        <v>415</v>
      </c>
      <c r="P48" s="2259"/>
      <c r="Q48" s="2259">
        <v>1</v>
      </c>
      <c r="R48" s="359"/>
      <c r="S48" s="1338" t="str">
        <f>$J48</f>
        <v>....1</v>
      </c>
      <c r="T48" s="288" t="s">
        <v>416</v>
      </c>
      <c r="U48" s="302"/>
      <c r="V48" s="2247"/>
      <c r="W48" s="2248"/>
      <c r="X48" s="2248"/>
      <c r="Y48" s="2248"/>
      <c r="Z48" s="2248"/>
      <c r="AA48" s="2248"/>
      <c r="AB48" s="2248"/>
      <c r="AC48" s="2249"/>
      <c r="AD48" s="2247"/>
      <c r="AE48" s="2248"/>
      <c r="AF48" s="2248"/>
      <c r="AG48" s="2248"/>
      <c r="AH48" s="2248"/>
      <c r="AI48" s="2248"/>
      <c r="AJ48" s="2248"/>
      <c r="AK48" s="2248"/>
      <c r="AL48" s="2249"/>
      <c r="AM48" s="1260" t="s">
        <v>417</v>
      </c>
      <c r="AO48" s="502"/>
      <c r="AP48" s="502" t="str">
        <f>IF(T48="","",T48)</f>
        <v>Группа потребителей</v>
      </c>
      <c r="AQ48" s="502"/>
      <c r="AR48" s="502"/>
      <c r="AS48" s="1157">
        <v>21</v>
      </c>
    </row>
    <row customHeight="1" ht="21.75">
      <c r="A49" s="1365" t="s">
        <v>197</v>
      </c>
      <c r="B49" s="1365" t="s">
        <v>198</v>
      </c>
      <c r="C49" s="1365" t="s">
        <v>199</v>
      </c>
      <c r="D49" s="1365" t="s">
        <v>200</v>
      </c>
      <c r="E49" s="2261"/>
      <c r="F49" s="2261"/>
      <c r="G49" s="2261"/>
      <c r="H49" s="2261"/>
      <c r="I49" s="2288"/>
      <c r="J49" s="2288"/>
      <c r="K49" s="2258" t="str">
        <f>J48&amp;".1"</f>
        <v>....1.1</v>
      </c>
      <c r="L49" s="1366" t="s">
        <v>418</v>
      </c>
      <c r="P49" s="2259"/>
      <c r="Q49" s="2259"/>
      <c r="R49" s="359">
        <v>1</v>
      </c>
      <c r="S49" s="1338" t="str">
        <f>$K49</f>
        <v>....1.1</v>
      </c>
      <c r="T49" s="1349"/>
      <c r="U49" s="302"/>
      <c r="V49" s="753"/>
      <c r="W49" s="327"/>
      <c r="X49" s="753"/>
      <c r="Y49" s="1259"/>
      <c r="Z49" s="2267"/>
      <c r="AA49" s="2109" t="s">
        <v>68</v>
      </c>
      <c r="AB49" s="2267"/>
      <c r="AC49" s="2109" t="s">
        <v>68</v>
      </c>
      <c r="AD49" s="753"/>
      <c r="AE49" s="327"/>
      <c r="AF49" s="753"/>
      <c r="AG49" s="1259"/>
      <c r="AH49" s="2267"/>
      <c r="AI49" s="2109" t="s">
        <v>68</v>
      </c>
      <c r="AJ49" s="2289"/>
      <c r="AK49" s="2109" t="s">
        <v>68</v>
      </c>
      <c r="AL49" s="1350"/>
      <c r="AM49" s="2255" t="s">
        <v>459</v>
      </c>
      <c r="AN49" s="513">
        <f>STRCHECKDATE(V50:AL50)</f>
      </c>
      <c r="AO49" s="502"/>
      <c r="AP49" s="502" t="str">
        <f>IF(T49="","",T49)</f>
        <v/>
      </c>
      <c r="AQ49" s="502"/>
      <c r="AR49" s="502"/>
      <c r="AS49" s="1157">
        <v>21</v>
      </c>
    </row>
    <row customHeight="1" ht="0">
      <c r="A50" s="1365" t="s">
        <v>197</v>
      </c>
      <c r="B50" s="1365" t="s">
        <v>198</v>
      </c>
      <c r="C50" s="1365" t="s">
        <v>199</v>
      </c>
      <c r="D50" s="1365" t="s">
        <v>200</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197</v>
      </c>
      <c r="B51" s="1365" t="s">
        <v>198</v>
      </c>
      <c r="C51" s="1365" t="s">
        <v>199</v>
      </c>
      <c r="D51" s="1365" t="s">
        <v>200</v>
      </c>
      <c r="E51" s="2261"/>
      <c r="F51" s="2261"/>
      <c r="G51" s="2261"/>
      <c r="H51" s="2261"/>
      <c r="I51" s="2288"/>
      <c r="J51" s="2258"/>
      <c r="K51" s="1365"/>
      <c r="L51" s="1366"/>
      <c r="P51" s="2259"/>
      <c r="Q51" s="2259"/>
      <c r="R51" s="358"/>
      <c r="S51" s="1280"/>
      <c r="T51" s="289" t="s">
        <v>420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197</v>
      </c>
      <c r="B52" s="1365" t="s">
        <v>198</v>
      </c>
      <c r="C52" s="1365" t="s">
        <v>199</v>
      </c>
      <c r="D52" s="1365" t="s">
        <v>200</v>
      </c>
      <c r="E52" s="2261"/>
      <c r="F52" s="2261"/>
      <c r="G52" s="2261"/>
      <c r="H52" s="2261"/>
      <c r="I52" s="2258"/>
      <c r="J52" s="1365"/>
      <c r="K52" s="1365"/>
      <c r="L52" s="1366"/>
      <c r="P52" s="2259"/>
      <c r="Q52" s="1333"/>
      <c r="R52" s="358"/>
      <c r="S52" s="1280"/>
      <c r="T52" s="367" t="s">
        <v>421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197</v>
      </c>
      <c r="B53" s="1365" t="s">
        <v>198</v>
      </c>
      <c r="C53" s="1365" t="s">
        <v>199</v>
      </c>
      <c r="D53" s="1365" t="s">
        <v>200</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197</v>
      </c>
      <c r="B54" s="1345" t="s">
        <v>198</v>
      </c>
      <c r="C54" s="1345" t="s">
        <v>199</v>
      </c>
      <c r="D54" s="1316"/>
      <c r="E54" s="2261"/>
      <c r="F54" s="2261"/>
      <c r="G54" s="2260"/>
      <c r="H54" s="1316"/>
      <c r="I54" s="1316"/>
      <c r="J54" s="1316"/>
      <c r="K54" s="1316"/>
      <c r="L54" s="1341"/>
      <c r="M54" s="1317"/>
      <c r="N54" s="1317"/>
      <c r="P54" s="1318"/>
      <c r="Q54" s="1319"/>
      <c r="R54" s="1318"/>
      <c r="S54" s="1324"/>
      <c r="T54" s="1327" t="s">
        <v>172</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197</v>
      </c>
      <c r="B55" s="1345" t="s">
        <v>198</v>
      </c>
      <c r="C55" s="1316"/>
      <c r="D55" s="1316"/>
      <c r="E55" s="2261"/>
      <c r="F55" s="2260"/>
      <c r="G55" s="1316"/>
      <c r="H55" s="1316"/>
      <c r="I55" s="1316"/>
      <c r="J55" s="1316"/>
      <c r="K55" s="1316"/>
      <c r="L55" s="1341"/>
      <c r="M55" s="1323"/>
      <c r="N55" s="1323"/>
      <c r="P55" s="1318"/>
      <c r="Q55" s="1319"/>
      <c r="R55" s="1318"/>
      <c r="S55" s="1324"/>
      <c r="T55" s="1327" t="s">
        <v>173</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197</v>
      </c>
      <c r="B56" s="1345"/>
      <c r="C56" s="1345"/>
      <c r="D56" s="1345"/>
      <c r="E56" s="2260"/>
      <c r="F56" s="1345"/>
      <c r="G56" s="1345"/>
      <c r="H56" s="1345"/>
      <c r="I56" s="1345"/>
      <c r="J56" s="1345"/>
      <c r="K56" s="1345"/>
      <c r="L56" s="1348"/>
      <c r="M56" s="1323"/>
      <c r="N56" s="1323"/>
      <c r="O56" s="520"/>
      <c r="P56" s="382"/>
      <c r="Q56" s="1346"/>
      <c r="R56" s="382"/>
      <c r="S56" s="1324"/>
      <c r="T56" s="1327" t="s">
        <v>174</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175</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84</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5FBB23-E284-B4EF-E28B-0.7CEF553A}"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125</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405</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406</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407</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408</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409</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410</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411</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412</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415</v>
      </c>
      <c r="N7" s="511"/>
      <c r="O7" s="329"/>
      <c r="Q7" s="2259"/>
      <c r="R7" s="2259">
        <v>1</v>
      </c>
      <c r="S7" s="520"/>
      <c r="T7" s="359"/>
      <c r="U7" s="1338">
        <f>$J7</f>
      </c>
      <c r="V7" s="288" t="s">
        <v>416</v>
      </c>
      <c r="W7" s="302"/>
      <c r="X7" s="2247"/>
      <c r="Y7" s="2248"/>
      <c r="Z7" s="2248"/>
      <c r="AA7" s="2248"/>
      <c r="AB7" s="2248"/>
      <c r="AC7" s="2237"/>
      <c r="AD7" s="2237"/>
      <c r="AE7" s="2237"/>
      <c r="AF7" s="2310"/>
      <c r="AG7" s="2247"/>
      <c r="AH7" s="2248"/>
      <c r="AI7" s="2248"/>
      <c r="AJ7" s="2248"/>
      <c r="AK7" s="2248"/>
      <c r="AL7" s="2248"/>
      <c r="AM7" s="2248"/>
      <c r="AN7" s="2248"/>
      <c r="AO7" s="2248"/>
      <c r="AP7" s="2249"/>
      <c r="AQ7" s="1260" t="s">
        <v>417</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418</v>
      </c>
      <c r="N8" s="511"/>
      <c r="O8" s="329"/>
      <c r="P8" s="329"/>
      <c r="Q8" s="2259"/>
      <c r="R8" s="2259"/>
      <c r="S8" s="2259">
        <v>1</v>
      </c>
      <c r="T8" s="359"/>
      <c r="U8" s="1338">
        <f>$K8</f>
      </c>
      <c r="V8" s="1349"/>
      <c r="W8" s="302"/>
      <c r="X8" s="753"/>
      <c r="Y8" s="753"/>
      <c r="Z8" s="753"/>
      <c r="AA8" s="753"/>
      <c r="AB8" s="1407"/>
      <c r="AC8" s="2267"/>
      <c r="AD8" s="2109" t="s">
        <v>68</v>
      </c>
      <c r="AE8" s="2267"/>
      <c r="AF8" s="2109" t="s">
        <v>68</v>
      </c>
      <c r="AG8" s="1409"/>
      <c r="AH8" s="753"/>
      <c r="AI8" s="753"/>
      <c r="AJ8" s="753"/>
      <c r="AK8" s="1259"/>
      <c r="AL8" s="2267"/>
      <c r="AM8" s="2109" t="s">
        <v>68</v>
      </c>
      <c r="AN8" s="2267"/>
      <c r="AO8" s="2109" t="s">
        <v>68</v>
      </c>
      <c r="AP8" s="327"/>
      <c r="AQ8" s="1309" t="s">
        <v>460</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461</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462</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420</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421</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172</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173</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174</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68</v>
      </c>
      <c r="AN19" s="2269"/>
      <c r="AO19" s="2270" t="s">
        <v>68</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423</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424</v>
      </c>
      <c r="Q26" s="1364"/>
      <c r="R26" s="1373"/>
      <c r="S26" s="1373"/>
      <c r="T26" s="1373"/>
      <c r="U26" s="731"/>
      <c r="V26" s="1162" t="s">
        <v>425</v>
      </c>
      <c r="AD26" s="188" t="s">
        <v>426</v>
      </c>
      <c r="AF26" s="188" t="s">
        <v>427</v>
      </c>
      <c r="AG26" s="1162" t="s">
        <v>425</v>
      </c>
      <c r="AM26" s="188" t="s">
        <v>428</v>
      </c>
      <c r="AO26" s="188" t="s">
        <v>427</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43</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429</v>
      </c>
      <c r="V34" s="2252"/>
      <c r="W34" s="1374"/>
      <c r="X34" s="2266" t="str">
        <f>IF(TITLE_DATE_PR_CHANGE="",IF(TITLE_DATE_PR="","",TITLE_DATE_PR),TITLE_DATE_PR_CHANGE)</f>
        <v>46141.35650462963</v>
      </c>
      <c r="Y34" s="2266"/>
      <c r="Z34" s="2266"/>
      <c r="AA34" s="2266"/>
      <c r="AB34" s="2266"/>
      <c r="AC34" s="2266"/>
      <c r="AD34" s="2266"/>
      <c r="AE34" s="2266"/>
      <c r="AF34" s="328"/>
      <c r="AG34" s="2266" t="str">
        <f>IF(TITLE_DATE_PR_CHANGE="",IF(TITLE_DATE_PR="","",TITLE_DATE_PR),TITLE_DATE_PR_CHANGE)</f>
        <v>46141.35650462963</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430</v>
      </c>
      <c r="V35" s="2252"/>
      <c r="W35" s="1374"/>
      <c r="X35" s="2253" t="str">
        <f>IF(TITLE_NUMBER_PR_CHANGE="",IF(TITLE_NUMBER_PR="","",TITLE_NUMBER_PR),TITLE_NUMBER_PR_CHANGE)</f>
        <v>вх. О-1106 (исх. №382 от 29.04.2026)</v>
      </c>
      <c r="Y35" s="2253"/>
      <c r="Z35" s="2253"/>
      <c r="AA35" s="2253"/>
      <c r="AB35" s="2253"/>
      <c r="AC35" s="2253"/>
      <c r="AD35" s="2253"/>
      <c r="AE35" s="2253"/>
      <c r="AF35" s="328"/>
      <c r="AG35" s="2253" t="str">
        <f>IF(TITLE_NUMBER_PR_CHANGE="",IF(TITLE_NUMBER_PR="","",TITLE_NUMBER_PR),TITLE_NUMBER_PR_CHANGE)</f>
        <v>вх. О-1106 (исх. №382 от 29.04.2026)</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44</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c r="A38" s="1250"/>
      <c r="B38" s="1250"/>
      <c r="C38" s="1250"/>
      <c r="D38" s="1250"/>
      <c r="E38" s="1250"/>
      <c r="F38" s="1250"/>
      <c r="G38" s="1250"/>
      <c r="H38" s="1250"/>
      <c r="I38" s="1250"/>
      <c r="J38" s="1250"/>
      <c r="K38" s="1250"/>
      <c r="L38" s="1250"/>
      <c r="M38" s="1382"/>
      <c r="N38" s="1250"/>
      <c r="O38" s="1250"/>
      <c r="P38" s="1250"/>
      <c r="U38" s="2252" t="s">
        <v>431</v>
      </c>
      <c r="V38" s="2252"/>
      <c r="W38" s="1374"/>
      <c r="X38" s="2266" t="str">
        <f>IF(TITLE_DATE_PR_CHANGE="",IF(TITLE_DATE_PR="","",TITLE_DATE_PR),TITLE_DATE_PR_CHANGE)</f>
        <v>46141.35650462963</v>
      </c>
      <c r="Y38" s="2266"/>
      <c r="Z38" s="2266"/>
      <c r="AA38" s="2266"/>
      <c r="AB38" s="2266"/>
      <c r="AC38" s="2266"/>
      <c r="AD38" s="2266"/>
      <c r="AE38" s="2266"/>
      <c r="AF38" s="328"/>
      <c r="AG38" s="2266" t="str">
        <f>IF(TITLE_DATE_PR_CHANGE="",IF(TITLE_DATE_PR="","",TITLE_DATE_PR),TITLE_DATE_PR_CHANGE)</f>
        <v>46141.35650462963</v>
      </c>
      <c r="AH38" s="2266"/>
      <c r="AI38" s="2266"/>
      <c r="AJ38" s="2266"/>
      <c r="AK38" s="2266"/>
      <c r="AL38" s="2266"/>
      <c r="AM38" s="2266"/>
      <c r="AN38" s="2266"/>
      <c r="AO38" s="328"/>
      <c r="AP38" s="328"/>
      <c r="AQ38" s="282"/>
      <c r="AR38" s="370"/>
      <c r="AS38" s="370"/>
      <c r="AT38" s="370"/>
      <c r="AU38" s="370"/>
      <c r="AV38" s="370"/>
      <c r="AW38" s="420">
        <v>0</v>
      </c>
    </row>
    <row s="1855" customFormat="1" customHeight="1" ht="18.75">
      <c r="A39" s="1250"/>
      <c r="B39" s="1250"/>
      <c r="C39" s="1250"/>
      <c r="D39" s="1250"/>
      <c r="E39" s="1250"/>
      <c r="F39" s="1250"/>
      <c r="G39" s="1250"/>
      <c r="H39" s="1250"/>
      <c r="I39" s="1250"/>
      <c r="J39" s="1250"/>
      <c r="K39" s="1250"/>
      <c r="L39" s="1250"/>
      <c r="M39" s="1382"/>
      <c r="N39" s="1250"/>
      <c r="O39" s="1250"/>
      <c r="P39" s="1250"/>
      <c r="U39" s="2252" t="s">
        <v>432</v>
      </c>
      <c r="V39" s="2252"/>
      <c r="W39" s="1374"/>
      <c r="X39" s="2253" t="str">
        <f>IF(TITLE_NUMBER_PR_CHANGE="",IF(TITLE_NUMBER_PR="","",TITLE_NUMBER_PR),TITLE_NUMBER_PR_CHANGE)</f>
        <v>вх. О-1106 (исх. №382 от 29.04.2026)</v>
      </c>
      <c r="Y39" s="2253"/>
      <c r="Z39" s="2253"/>
      <c r="AA39" s="2253"/>
      <c r="AB39" s="2253"/>
      <c r="AC39" s="2253"/>
      <c r="AD39" s="2253"/>
      <c r="AE39" s="2253"/>
      <c r="AF39" s="328"/>
      <c r="AG39" s="2253" t="str">
        <f>IF(TITLE_NUMBER_PR_CHANGE="",IF(TITLE_NUMBER_PR="","",TITLE_NUMBER_PR),TITLE_NUMBER_PR_CHANGE)</f>
        <v>вх. О-1106 (исх. №382 от 29.04.2026)</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433</v>
      </c>
      <c r="AG40" s="328"/>
      <c r="AH40" s="328"/>
      <c r="AI40" s="328"/>
      <c r="AJ40" s="328"/>
      <c r="AK40" s="328"/>
      <c r="AL40" s="328"/>
      <c r="AM40" s="328"/>
      <c r="AN40" s="328"/>
      <c r="AO40" s="280" t="s">
        <v>433</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309</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310</v>
      </c>
      <c r="AW42" s="1157">
        <v>14</v>
      </c>
    </row>
    <row customHeight="1" ht="15">
      <c r="R43" s="378"/>
      <c r="S43" s="378"/>
      <c r="T43" s="378"/>
      <c r="U43" s="2275" t="s">
        <v>90</v>
      </c>
      <c r="V43" s="2211" t="s">
        <v>434</v>
      </c>
      <c r="W43" s="303"/>
      <c r="X43" s="2276" t="s">
        <v>435</v>
      </c>
      <c r="Y43" s="2293"/>
      <c r="Z43" s="2293"/>
      <c r="AA43" s="2293"/>
      <c r="AB43" s="2293"/>
      <c r="AC43" s="2277"/>
      <c r="AD43" s="2277"/>
      <c r="AE43" s="2278"/>
      <c r="AF43" s="2279" t="s">
        <v>436</v>
      </c>
      <c r="AG43" s="2276" t="s">
        <v>435</v>
      </c>
      <c r="AH43" s="2293"/>
      <c r="AI43" s="2293"/>
      <c r="AJ43" s="2293"/>
      <c r="AK43" s="2293"/>
      <c r="AL43" s="2277"/>
      <c r="AM43" s="2277"/>
      <c r="AN43" s="2278"/>
      <c r="AO43" s="2279" t="s">
        <v>437</v>
      </c>
      <c r="AP43" s="2282" t="s">
        <v>438</v>
      </c>
      <c r="AQ43" s="2129"/>
      <c r="AW43" s="1157">
        <v>14</v>
      </c>
    </row>
    <row customHeight="1" ht="36">
      <c r="R44" s="378"/>
      <c r="S44" s="378"/>
      <c r="T44" s="378"/>
      <c r="U44" s="2275"/>
      <c r="V44" s="2211"/>
      <c r="W44" s="1033"/>
      <c r="X44" s="2296" t="s">
        <v>463</v>
      </c>
      <c r="Y44" s="2314" t="s">
        <v>464</v>
      </c>
      <c r="Z44" s="2314"/>
      <c r="AA44" s="2314"/>
      <c r="AB44" s="2314"/>
      <c r="AC44" s="2296" t="s">
        <v>442</v>
      </c>
      <c r="AD44" s="2613"/>
      <c r="AE44" s="2316"/>
      <c r="AF44" s="2280"/>
      <c r="AG44" s="2296" t="s">
        <v>463</v>
      </c>
      <c r="AH44" s="2314" t="s">
        <v>464</v>
      </c>
      <c r="AI44" s="2314"/>
      <c r="AJ44" s="2314"/>
      <c r="AK44" s="2314"/>
      <c r="AL44" s="2296" t="s">
        <v>442</v>
      </c>
      <c r="AM44" s="2613"/>
      <c r="AN44" s="2316"/>
      <c r="AO44" s="2280"/>
      <c r="AP44" s="2283"/>
      <c r="AQ44" s="2129"/>
      <c r="AW44" s="1157">
        <v>34</v>
      </c>
    </row>
    <row customHeight="1" ht="15">
      <c r="R45" s="378"/>
      <c r="S45" s="378"/>
      <c r="T45" s="378"/>
      <c r="U45" s="2275"/>
      <c r="V45" s="2211"/>
      <c r="W45" s="1033"/>
      <c r="X45" s="2327"/>
      <c r="Y45" s="2319" t="s">
        <v>465</v>
      </c>
      <c r="Z45" s="2272" t="s">
        <v>466</v>
      </c>
      <c r="AA45" s="2322"/>
      <c r="AB45" s="2273"/>
      <c r="AC45" s="2297"/>
      <c r="AD45" s="2614"/>
      <c r="AE45" s="2318"/>
      <c r="AF45" s="2280"/>
      <c r="AG45" s="2327"/>
      <c r="AH45" s="2319" t="s">
        <v>465</v>
      </c>
      <c r="AI45" s="2272" t="s">
        <v>466</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467</v>
      </c>
      <c r="AA46" s="2272" t="s">
        <v>468</v>
      </c>
      <c r="AB46" s="2273"/>
      <c r="AC46" s="2319" t="s">
        <v>452</v>
      </c>
      <c r="AD46" s="2323" t="s">
        <v>453</v>
      </c>
      <c r="AE46" s="2324"/>
      <c r="AF46" s="2280"/>
      <c r="AG46" s="2327"/>
      <c r="AH46" s="2320"/>
      <c r="AI46" s="2319" t="s">
        <v>467</v>
      </c>
      <c r="AJ46" s="2272" t="s">
        <v>468</v>
      </c>
      <c r="AK46" s="2273"/>
      <c r="AL46" s="2319" t="s">
        <v>452</v>
      </c>
      <c r="AM46" s="2323" t="s">
        <v>453</v>
      </c>
      <c r="AN46" s="2324"/>
      <c r="AO46" s="2280"/>
      <c r="AP46" s="2283"/>
      <c r="AQ46" s="2129"/>
      <c r="AW46" s="1157">
        <v>26</v>
      </c>
    </row>
    <row customHeight="1" ht="65.25">
      <c r="A47" s="1261"/>
      <c r="B47" s="1261" t="s">
        <v>137</v>
      </c>
      <c r="C47" s="1261" t="s">
        <v>138</v>
      </c>
      <c r="D47" s="1261" t="s">
        <v>139</v>
      </c>
      <c r="E47" s="1312" t="s">
        <v>443</v>
      </c>
      <c r="F47" s="1312" t="s">
        <v>444</v>
      </c>
      <c r="G47" s="1312" t="s">
        <v>445</v>
      </c>
      <c r="H47" s="1312" t="s">
        <v>446</v>
      </c>
      <c r="I47" s="1312" t="s">
        <v>447</v>
      </c>
      <c r="J47" s="1312" t="s">
        <v>448</v>
      </c>
      <c r="K47" s="1312" t="s">
        <v>449</v>
      </c>
      <c r="L47" s="1312" t="s">
        <v>469</v>
      </c>
      <c r="M47" s="1312" t="s">
        <v>424</v>
      </c>
      <c r="R47" s="378"/>
      <c r="S47" s="378"/>
      <c r="T47" s="378"/>
      <c r="U47" s="2275"/>
      <c r="V47" s="2211"/>
      <c r="W47" s="304"/>
      <c r="X47" s="2297"/>
      <c r="Y47" s="2321"/>
      <c r="Z47" s="2321"/>
      <c r="AA47" s="1224" t="s">
        <v>470</v>
      </c>
      <c r="AB47" s="1224" t="s">
        <v>471</v>
      </c>
      <c r="AC47" s="2321"/>
      <c r="AD47" s="2325"/>
      <c r="AE47" s="2326"/>
      <c r="AF47" s="2281"/>
      <c r="AG47" s="2297"/>
      <c r="AH47" s="2321"/>
      <c r="AI47" s="2321"/>
      <c r="AJ47" s="1224" t="s">
        <v>470</v>
      </c>
      <c r="AK47" s="1224" t="s">
        <v>471</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111</v>
      </c>
      <c r="V48" s="1257" t="s">
        <v>112</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185</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125</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185</v>
      </c>
      <c r="B50" s="1269" t="s">
        <v>186</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406</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407</v>
      </c>
      <c r="AS50" s="502"/>
      <c r="AT50" s="502" t="str">
        <f>IF(V50="","",V50)</f>
        <v>Территория действия тарифа</v>
      </c>
      <c r="AU50" s="502"/>
      <c r="AV50" s="502"/>
      <c r="AW50" s="1157">
        <v>21</v>
      </c>
    </row>
    <row customHeight="1" ht="24">
      <c r="A51" s="1269" t="s">
        <v>185</v>
      </c>
      <c r="B51" s="1269" t="s">
        <v>186</v>
      </c>
      <c r="C51" s="1269" t="s">
        <v>187</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408</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409</v>
      </c>
      <c r="AS51" s="502"/>
      <c r="AT51" s="502" t="str">
        <f>IF(V51="","",V51)</f>
        <v>Наименование системы теплоснабжения </v>
      </c>
      <c r="AU51" s="502"/>
      <c r="AV51" s="502"/>
      <c r="AW51" s="1157">
        <v>23</v>
      </c>
    </row>
    <row customHeight="1" ht="21.75">
      <c r="A52" s="1269" t="s">
        <v>185</v>
      </c>
      <c r="B52" s="1269" t="s">
        <v>186</v>
      </c>
      <c r="C52" s="1269" t="s">
        <v>187</v>
      </c>
      <c r="D52" s="1269" t="s">
        <v>188</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410</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411</v>
      </c>
      <c r="AS52" s="502"/>
      <c r="AT52" s="502" t="str">
        <f>IF(V52="","",V52)</f>
        <v>Источник тепловой энергии  </v>
      </c>
      <c r="AU52" s="502"/>
      <c r="AV52" s="502"/>
      <c r="AW52" s="1157">
        <v>21</v>
      </c>
    </row>
    <row s="1644" customFormat="1" customHeight="1" ht="0">
      <c r="A53" s="1377" t="s">
        <v>185</v>
      </c>
      <c r="B53" s="1377" t="s">
        <v>186</v>
      </c>
      <c r="C53" s="1377" t="s">
        <v>187</v>
      </c>
      <c r="D53" s="1377" t="s">
        <v>188</v>
      </c>
      <c r="E53" s="2292"/>
      <c r="F53" s="2292"/>
      <c r="G53" s="2292"/>
      <c r="H53" s="2313"/>
      <c r="I53" s="2129" t="str">
        <f>U52&amp;".1"</f>
        <v>....1</v>
      </c>
      <c r="J53" s="1377"/>
      <c r="K53" s="1377"/>
      <c r="L53" s="1377"/>
      <c r="M53" s="1383" t="s">
        <v>412</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185</v>
      </c>
      <c r="B54" s="1269" t="s">
        <v>186</v>
      </c>
      <c r="C54" s="1269" t="s">
        <v>187</v>
      </c>
      <c r="D54" s="1269" t="s">
        <v>188</v>
      </c>
      <c r="E54" s="2292"/>
      <c r="F54" s="2292"/>
      <c r="G54" s="2292"/>
      <c r="H54" s="2313"/>
      <c r="I54" s="2103"/>
      <c r="J54" s="2129" t="str">
        <f>I53&amp;".1"</f>
        <v>....1.1</v>
      </c>
      <c r="K54" s="1269"/>
      <c r="L54" s="1269"/>
      <c r="M54" s="1312" t="s">
        <v>415</v>
      </c>
      <c r="Q54" s="2259"/>
      <c r="R54" s="2259">
        <v>1</v>
      </c>
      <c r="S54" s="520"/>
      <c r="T54" s="359"/>
      <c r="U54" s="1338" t="str">
        <f>$J54</f>
        <v>....1.1</v>
      </c>
      <c r="V54" s="288" t="s">
        <v>416</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417</v>
      </c>
      <c r="AS54" s="502"/>
      <c r="AT54" s="502" t="str">
        <f>IF(V54="","",V54)</f>
        <v>Группа потребителей</v>
      </c>
      <c r="AU54" s="502"/>
      <c r="AV54" s="502"/>
      <c r="AW54" s="1157">
        <v>21</v>
      </c>
    </row>
    <row customHeight="1" ht="21.75">
      <c r="A55" s="1269" t="s">
        <v>185</v>
      </c>
      <c r="B55" s="1269" t="s">
        <v>186</v>
      </c>
      <c r="C55" s="1269" t="s">
        <v>187</v>
      </c>
      <c r="D55" s="1269" t="s">
        <v>188</v>
      </c>
      <c r="E55" s="2292"/>
      <c r="F55" s="2292"/>
      <c r="G55" s="2292"/>
      <c r="H55" s="2313"/>
      <c r="I55" s="2103"/>
      <c r="J55" s="2103"/>
      <c r="K55" s="2129" t="str">
        <f>J54&amp;".1"</f>
        <v>....1.1.1</v>
      </c>
      <c r="L55" s="141"/>
      <c r="M55" s="1312" t="s">
        <v>418</v>
      </c>
      <c r="Q55" s="2259"/>
      <c r="R55" s="2259"/>
      <c r="S55" s="520">
        <v>1</v>
      </c>
      <c r="T55" s="359"/>
      <c r="U55" s="1338" t="str">
        <f>$K55</f>
        <v>....1.1.1</v>
      </c>
      <c r="V55" s="1349"/>
      <c r="W55" s="302"/>
      <c r="X55" s="753"/>
      <c r="Y55" s="753"/>
      <c r="Z55" s="753"/>
      <c r="AA55" s="753"/>
      <c r="AB55" s="1407"/>
      <c r="AC55" s="2267"/>
      <c r="AD55" s="2109" t="s">
        <v>68</v>
      </c>
      <c r="AE55" s="2267"/>
      <c r="AF55" s="2109" t="s">
        <v>68</v>
      </c>
      <c r="AG55" s="1409"/>
      <c r="AH55" s="753"/>
      <c r="AI55" s="753"/>
      <c r="AJ55" s="753"/>
      <c r="AK55" s="1259"/>
      <c r="AL55" s="2267"/>
      <c r="AM55" s="2109" t="s">
        <v>68</v>
      </c>
      <c r="AN55" s="2267"/>
      <c r="AO55" s="2109" t="s">
        <v>68</v>
      </c>
      <c r="AP55" s="1350"/>
      <c r="AQ55" s="1309" t="s">
        <v>460</v>
      </c>
      <c r="AR55" s="513">
        <f>STRCHECKDATE(X57:AP57)</f>
      </c>
      <c r="AS55" s="502"/>
      <c r="AT55" s="502" t="str">
        <f>IF(V55="","",V55)</f>
        <v/>
      </c>
      <c r="AU55" s="502"/>
      <c r="AV55" s="502"/>
      <c r="AW55" s="1157">
        <v>21</v>
      </c>
    </row>
    <row customHeight="1" ht="11.25">
      <c r="A56" s="1269" t="s">
        <v>185</v>
      </c>
      <c r="B56" s="1269" t="s">
        <v>186</v>
      </c>
      <c r="C56" s="1269" t="s">
        <v>187</v>
      </c>
      <c r="D56" s="1269" t="s">
        <v>188</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461</v>
      </c>
      <c r="AR56" s="513">
        <f>STRCHECKDATE(X58:AP58)</f>
      </c>
      <c r="AS56" s="502"/>
      <c r="AT56" s="502" t="str">
        <f>IF(V56="","",V56)</f>
        <v/>
      </c>
      <c r="AU56" s="502"/>
      <c r="AV56" s="502"/>
      <c r="AW56" s="1157">
        <v>11</v>
      </c>
    </row>
    <row customHeight="1" ht="0">
      <c r="A57" s="1269" t="s">
        <v>185</v>
      </c>
      <c r="B57" s="1269" t="s">
        <v>186</v>
      </c>
      <c r="C57" s="1269" t="s">
        <v>187</v>
      </c>
      <c r="D57" s="1269" t="s">
        <v>188</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185</v>
      </c>
      <c r="B58" s="1269" t="s">
        <v>186</v>
      </c>
      <c r="C58" s="1269" t="s">
        <v>187</v>
      </c>
      <c r="D58" s="1269" t="s">
        <v>188</v>
      </c>
      <c r="E58" s="2292"/>
      <c r="F58" s="2292"/>
      <c r="G58" s="2292"/>
      <c r="H58" s="2313"/>
      <c r="I58" s="2103"/>
      <c r="J58" s="2103"/>
      <c r="K58" s="2129"/>
      <c r="L58" s="1269"/>
      <c r="M58" s="1312"/>
      <c r="Q58" s="2259"/>
      <c r="R58" s="2259"/>
      <c r="S58" s="1333"/>
      <c r="T58" s="358"/>
      <c r="U58" s="1280"/>
      <c r="V58" s="290" t="s">
        <v>462</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185</v>
      </c>
      <c r="B59" s="1269" t="s">
        <v>186</v>
      </c>
      <c r="C59" s="1269" t="s">
        <v>187</v>
      </c>
      <c r="D59" s="1269" t="s">
        <v>188</v>
      </c>
      <c r="E59" s="2292"/>
      <c r="F59" s="2292"/>
      <c r="G59" s="2292"/>
      <c r="H59" s="2313"/>
      <c r="I59" s="2103"/>
      <c r="J59" s="2129"/>
      <c r="K59" s="1269"/>
      <c r="L59" s="1269"/>
      <c r="M59" s="1312"/>
      <c r="Q59" s="2259"/>
      <c r="R59" s="2259"/>
      <c r="S59" s="1333"/>
      <c r="T59" s="358"/>
      <c r="U59" s="1280"/>
      <c r="V59" s="289" t="s">
        <v>420</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185</v>
      </c>
      <c r="B60" s="1269" t="s">
        <v>186</v>
      </c>
      <c r="C60" s="1269" t="s">
        <v>187</v>
      </c>
      <c r="D60" s="1269" t="s">
        <v>188</v>
      </c>
      <c r="E60" s="2292"/>
      <c r="F60" s="2292"/>
      <c r="G60" s="2292"/>
      <c r="H60" s="2313"/>
      <c r="I60" s="2129"/>
      <c r="J60" s="1269"/>
      <c r="K60" s="1269"/>
      <c r="L60" s="1269"/>
      <c r="M60" s="1312"/>
      <c r="Q60" s="2259"/>
      <c r="R60" s="1333"/>
      <c r="S60" s="1333"/>
      <c r="T60" s="358"/>
      <c r="U60" s="1280"/>
      <c r="V60" s="367" t="s">
        <v>421</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185</v>
      </c>
      <c r="B61" s="1269" t="s">
        <v>186</v>
      </c>
      <c r="C61" s="1269" t="s">
        <v>187</v>
      </c>
      <c r="D61" s="1269" t="s">
        <v>188</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185</v>
      </c>
      <c r="B62" s="1377" t="s">
        <v>186</v>
      </c>
      <c r="C62" s="1377" t="s">
        <v>187</v>
      </c>
      <c r="D62" s="1376"/>
      <c r="E62" s="2292"/>
      <c r="F62" s="2292"/>
      <c r="G62" s="2291"/>
      <c r="H62" s="1376"/>
      <c r="I62" s="1376"/>
      <c r="J62" s="1376"/>
      <c r="K62" s="1376"/>
      <c r="L62" s="1376"/>
      <c r="M62" s="1379"/>
      <c r="N62" s="1380"/>
      <c r="O62" s="1380"/>
      <c r="P62" s="353"/>
      <c r="Q62" s="1318"/>
      <c r="R62" s="1319"/>
      <c r="S62" s="1318"/>
      <c r="T62" s="1318"/>
      <c r="U62" s="1324"/>
      <c r="V62" s="1327" t="s">
        <v>172</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185</v>
      </c>
      <c r="B63" s="1377" t="s">
        <v>186</v>
      </c>
      <c r="C63" s="1376"/>
      <c r="D63" s="1376"/>
      <c r="E63" s="2292"/>
      <c r="F63" s="2291"/>
      <c r="G63" s="1376"/>
      <c r="H63" s="1376"/>
      <c r="I63" s="1376"/>
      <c r="J63" s="1376"/>
      <c r="K63" s="1376"/>
      <c r="L63" s="1376"/>
      <c r="M63" s="1379"/>
      <c r="N63" s="1381"/>
      <c r="O63" s="1381"/>
      <c r="P63" s="353"/>
      <c r="Q63" s="1318"/>
      <c r="R63" s="1319"/>
      <c r="S63" s="1318"/>
      <c r="T63" s="1318"/>
      <c r="U63" s="1324"/>
      <c r="V63" s="1327" t="s">
        <v>173</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185</v>
      </c>
      <c r="B64" s="1377"/>
      <c r="C64" s="1377"/>
      <c r="D64" s="1377"/>
      <c r="E64" s="2291"/>
      <c r="F64" s="1377"/>
      <c r="G64" s="1377"/>
      <c r="H64" s="1377"/>
      <c r="I64" s="1377"/>
      <c r="J64" s="1377"/>
      <c r="K64" s="1377"/>
      <c r="L64" s="1377"/>
      <c r="M64" s="1383"/>
      <c r="N64" s="1381"/>
      <c r="O64" s="1381"/>
      <c r="P64" s="353"/>
      <c r="Q64" s="382"/>
      <c r="R64" s="1346"/>
      <c r="S64" s="382"/>
      <c r="T64" s="382"/>
      <c r="U64" s="1324"/>
      <c r="V64" s="1327" t="s">
        <v>174</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175</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84</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230DF82-708F-F59E-F401-0.BCCA8441}"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125</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405</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406</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407</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408</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409</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410</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411</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412</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68</v>
      </c>
      <c r="Z8" s="2267"/>
      <c r="AA8" s="2109" t="s">
        <v>68</v>
      </c>
      <c r="AB8" s="2109" t="s">
        <v>19</v>
      </c>
      <c r="AC8" s="2328"/>
      <c r="AD8" s="2207">
        <v>1</v>
      </c>
      <c r="AE8" s="2329"/>
      <c r="AF8" s="2109" t="s">
        <v>19</v>
      </c>
      <c r="AG8" s="2328"/>
      <c r="AH8" s="2207">
        <v>1</v>
      </c>
      <c r="AI8" s="2329"/>
      <c r="AJ8" s="2109" t="s">
        <v>19</v>
      </c>
      <c r="AK8" s="313"/>
      <c r="AL8" s="1339">
        <v>1</v>
      </c>
      <c r="AM8" s="1400"/>
      <c r="AN8" s="753"/>
      <c r="AO8" s="1259"/>
      <c r="AP8" s="1736"/>
      <c r="AQ8" s="1461" t="s">
        <v>68</v>
      </c>
      <c r="AR8" s="1736"/>
      <c r="AS8" s="1461" t="s">
        <v>68</v>
      </c>
      <c r="AT8" s="1350"/>
      <c r="AU8" s="2255" t="s">
        <v>472</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473</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474</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475</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476</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172</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173</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174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68</v>
      </c>
      <c r="AR19" s="1738"/>
      <c r="AS19" s="1462" t="s">
        <v>68</v>
      </c>
      <c r="BA19" s="1157">
        <v>0</v>
      </c>
    </row>
    <row customHeight="1" ht="14.25" hidden="1">
      <c r="AV20" s="498"/>
      <c r="AW20" s="498"/>
      <c r="AX20" s="498"/>
      <c r="AY20" s="498"/>
      <c r="AZ20" s="498"/>
      <c r="BA20" s="1157">
        <v>0</v>
      </c>
    </row>
    <row customHeight="1" ht="14.25" hidden="1">
      <c r="O21" s="1369" t="s">
        <v>423</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424</v>
      </c>
      <c r="P23" s="1510"/>
      <c r="Q23" s="1512"/>
      <c r="R23" s="1512"/>
      <c r="Y23" s="1509" t="s">
        <v>426</v>
      </c>
      <c r="AA23" s="1509" t="s">
        <v>427</v>
      </c>
      <c r="AB23" s="1509" t="s">
        <v>477</v>
      </c>
      <c r="AE23" s="1509" t="s">
        <v>478</v>
      </c>
      <c r="AF23" s="1509" t="s">
        <v>477</v>
      </c>
      <c r="AI23" s="1509" t="s">
        <v>479</v>
      </c>
      <c r="AJ23" s="1509" t="s">
        <v>477</v>
      </c>
      <c r="AM23" s="1509" t="s">
        <v>480</v>
      </c>
      <c r="AQ23" s="1509" t="s">
        <v>426</v>
      </c>
      <c r="AS23" s="1509" t="s">
        <v>427</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43</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429</v>
      </c>
      <c r="T31" s="2252"/>
      <c r="U31" s="1374"/>
      <c r="V31" s="2266" t="str">
        <f>IF(TITLE_DATE_PR_CHANGE="",IF(TITLE_DATE_PR="","",TITLE_DATE_PR),TITLE_DATE_PR_CHANGE)</f>
        <v>46141.35650462963</v>
      </c>
      <c r="W31" s="2266"/>
      <c r="X31" s="2266"/>
      <c r="Y31" s="2266"/>
      <c r="Z31" s="2266"/>
      <c r="AA31" s="328"/>
      <c r="AB31" s="2266" t="str">
        <f>IF(TITLE_DATE_PR_CHANGE="",IF(TITLE_DATE_PR="","",TITLE_DATE_PR),TITLE_DATE_PR_CHANGE)</f>
        <v>46141.35650462963</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430</v>
      </c>
      <c r="T32" s="2252"/>
      <c r="U32" s="1374"/>
      <c r="V32" s="2253" t="str">
        <f>IF(TITLE_NUMBER_PR_CHANGE="",IF(TITLE_NUMBER_PR="","",TITLE_NUMBER_PR),TITLE_NUMBER_PR_CHANGE)</f>
        <v>вх. О-1106 (исх. №382 от 29.04.2026)</v>
      </c>
      <c r="W32" s="2253"/>
      <c r="X32" s="2253"/>
      <c r="Y32" s="2253"/>
      <c r="Z32" s="2253"/>
      <c r="AA32" s="328"/>
      <c r="AB32" s="2253" t="str">
        <f>IF(TITLE_NUMBER_PR_CHANGE="",IF(TITLE_NUMBER_PR="","",TITLE_NUMBER_PR),TITLE_NUMBER_PR_CHANGE)</f>
        <v>вх. О-1106 (исх. №382 от 29.04.2026)</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44</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c r="A35" s="1370"/>
      <c r="B35" s="1370"/>
      <c r="C35" s="1370"/>
      <c r="D35" s="1370"/>
      <c r="E35" s="1370"/>
      <c r="F35" s="1370"/>
      <c r="G35" s="1370"/>
      <c r="H35" s="1370"/>
      <c r="I35" s="1370"/>
      <c r="J35" s="1370"/>
      <c r="K35" s="1370"/>
      <c r="L35" s="1371"/>
      <c r="M35" s="1370"/>
      <c r="N35" s="1370"/>
      <c r="O35" s="1370"/>
      <c r="P35" s="1370"/>
      <c r="Q35" s="1370"/>
      <c r="S35" s="2252" t="s">
        <v>429</v>
      </c>
      <c r="T35" s="2252"/>
      <c r="U35" s="1374"/>
      <c r="V35" s="2266" t="str">
        <f>IF(TITLE_DATE_PR_CHANGE="",IF(TITLE_DATE_PR="","",TITLE_DATE_PR),TITLE_DATE_PR_CHANGE)</f>
        <v>46141.35650462963</v>
      </c>
      <c r="W35" s="2266"/>
      <c r="X35" s="2266"/>
      <c r="Y35" s="2266"/>
      <c r="Z35" s="2266"/>
      <c r="AA35" s="328"/>
      <c r="AB35" s="2266" t="str">
        <f>IF(TITLE_DATE_PR_CHANGE="",IF(TITLE_DATE_PR="","",TITLE_DATE_PR),TITLE_DATE_PR_CHANGE)</f>
        <v>46141.35650462963</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c r="A36" s="1370"/>
      <c r="B36" s="1370"/>
      <c r="C36" s="1370"/>
      <c r="D36" s="1370"/>
      <c r="E36" s="1370"/>
      <c r="F36" s="1370"/>
      <c r="G36" s="1370"/>
      <c r="H36" s="1370"/>
      <c r="I36" s="1370"/>
      <c r="J36" s="1370"/>
      <c r="K36" s="1370"/>
      <c r="L36" s="1371"/>
      <c r="M36" s="1370"/>
      <c r="N36" s="1370"/>
      <c r="O36" s="1370"/>
      <c r="P36" s="1370"/>
      <c r="Q36" s="1370"/>
      <c r="S36" s="2252" t="s">
        <v>430</v>
      </c>
      <c r="T36" s="2252"/>
      <c r="U36" s="1374"/>
      <c r="V36" s="2253" t="str">
        <f>IF(TITLE_NUMBER_PR_CHANGE="",IF(TITLE_NUMBER_PR="","",TITLE_NUMBER_PR),TITLE_NUMBER_PR_CHANGE)</f>
        <v>вх. О-1106 (исх. №382 от 29.04.2026)</v>
      </c>
      <c r="W36" s="2253"/>
      <c r="X36" s="2253"/>
      <c r="Y36" s="2253"/>
      <c r="Z36" s="2253"/>
      <c r="AA36" s="328"/>
      <c r="AB36" s="2253" t="str">
        <f>IF(TITLE_NUMBER_PR_CHANGE="",IF(TITLE_NUMBER_PR="","",TITLE_NUMBER_PR),TITLE_NUMBER_PR_CHANGE)</f>
        <v>вх. О-1106 (исх. №382 от 29.04.2026)</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433</v>
      </c>
      <c r="AB37" s="328"/>
      <c r="AC37" s="328"/>
      <c r="AD37" s="328"/>
      <c r="AE37" s="328"/>
      <c r="AF37" s="328"/>
      <c r="AG37" s="328"/>
      <c r="AH37" s="328"/>
      <c r="AI37" s="328"/>
      <c r="AJ37" s="328"/>
      <c r="AK37" s="328"/>
      <c r="AL37" s="328"/>
      <c r="AM37" s="328"/>
      <c r="AN37" s="328"/>
      <c r="AO37" s="328"/>
      <c r="AP37" s="328"/>
      <c r="AQ37" s="328"/>
      <c r="AR37" s="328"/>
      <c r="AS37" s="280" t="s">
        <v>433</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309</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310</v>
      </c>
      <c r="BA39" s="1157">
        <v>14</v>
      </c>
    </row>
    <row customHeight="1" ht="15">
      <c r="Q40" s="293"/>
      <c r="R40" s="378"/>
      <c r="S40" s="2275" t="s">
        <v>90</v>
      </c>
      <c r="T40" s="2211" t="s">
        <v>481</v>
      </c>
      <c r="U40" s="303"/>
      <c r="V40" s="2277"/>
      <c r="W40" s="2277"/>
      <c r="X40" s="2277"/>
      <c r="Y40" s="2277"/>
      <c r="Z40" s="2278"/>
      <c r="AA40" s="2338" t="s">
        <v>436</v>
      </c>
      <c r="AB40" s="2330" t="s">
        <v>482</v>
      </c>
      <c r="AC40" s="2293"/>
      <c r="AD40" s="2293"/>
      <c r="AE40" s="2331"/>
      <c r="AF40" s="2293" t="s">
        <v>483</v>
      </c>
      <c r="AG40" s="2293"/>
      <c r="AH40" s="2293"/>
      <c r="AI40" s="2331"/>
      <c r="AJ40" s="2330" t="s">
        <v>484</v>
      </c>
      <c r="AK40" s="2293"/>
      <c r="AL40" s="2293"/>
      <c r="AM40" s="2331"/>
      <c r="AN40" s="2330" t="s">
        <v>435</v>
      </c>
      <c r="AO40" s="2293"/>
      <c r="AP40" s="2277"/>
      <c r="AQ40" s="2277"/>
      <c r="AR40" s="2278"/>
      <c r="AS40" s="2279" t="s">
        <v>436</v>
      </c>
      <c r="AT40" s="2282" t="s">
        <v>438</v>
      </c>
      <c r="AU40" s="2129"/>
      <c r="BA40" s="1157">
        <v>14</v>
      </c>
    </row>
    <row customHeight="1" ht="36">
      <c r="Q41" s="293"/>
      <c r="R41" s="378"/>
      <c r="S41" s="2275"/>
      <c r="T41" s="2211"/>
      <c r="U41" s="1033"/>
      <c r="V41" s="2129" t="s">
        <v>485</v>
      </c>
      <c r="W41" s="2129"/>
      <c r="X41" s="2296" t="s">
        <v>442</v>
      </c>
      <c r="Y41" s="2315"/>
      <c r="Z41" s="2316"/>
      <c r="AA41" s="2339"/>
      <c r="AB41" s="2332"/>
      <c r="AC41" s="2333"/>
      <c r="AD41" s="2333"/>
      <c r="AE41" s="2334"/>
      <c r="AF41" s="2333"/>
      <c r="AG41" s="2333"/>
      <c r="AH41" s="2333"/>
      <c r="AI41" s="2334"/>
      <c r="AJ41" s="2332"/>
      <c r="AK41" s="2333"/>
      <c r="AL41" s="2333"/>
      <c r="AM41" s="2333"/>
      <c r="AN41" s="2129" t="s">
        <v>485</v>
      </c>
      <c r="AO41" s="2129"/>
      <c r="AP41" s="2315" t="s">
        <v>442</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137</v>
      </c>
      <c r="C43" s="1372" t="s">
        <v>138</v>
      </c>
      <c r="D43" s="1372" t="s">
        <v>139</v>
      </c>
      <c r="E43" s="1366" t="s">
        <v>443</v>
      </c>
      <c r="F43" s="1366" t="s">
        <v>444</v>
      </c>
      <c r="G43" s="1366" t="s">
        <v>445</v>
      </c>
      <c r="H43" s="1366" t="s">
        <v>446</v>
      </c>
      <c r="I43" s="1366" t="s">
        <v>447</v>
      </c>
      <c r="J43" s="1366" t="s">
        <v>448</v>
      </c>
      <c r="K43" s="1366" t="s">
        <v>449</v>
      </c>
      <c r="L43" s="1366" t="s">
        <v>424</v>
      </c>
      <c r="Q43" s="293"/>
      <c r="R43" s="378"/>
      <c r="S43" s="2275"/>
      <c r="T43" s="2211"/>
      <c r="U43" s="304"/>
      <c r="V43" s="1332" t="s">
        <v>486</v>
      </c>
      <c r="W43" s="1332" t="s">
        <v>487</v>
      </c>
      <c r="X43" s="1340" t="s">
        <v>452</v>
      </c>
      <c r="Y43" s="2272" t="s">
        <v>453</v>
      </c>
      <c r="Z43" s="2273"/>
      <c r="AA43" s="2340"/>
      <c r="AB43" s="2335"/>
      <c r="AC43" s="2336"/>
      <c r="AD43" s="2336"/>
      <c r="AE43" s="2337"/>
      <c r="AF43" s="2336"/>
      <c r="AG43" s="2336"/>
      <c r="AH43" s="2336"/>
      <c r="AI43" s="2337"/>
      <c r="AJ43" s="2335"/>
      <c r="AK43" s="2336"/>
      <c r="AL43" s="2336"/>
      <c r="AM43" s="2337"/>
      <c r="AN43" s="1862" t="s">
        <v>486</v>
      </c>
      <c r="AO43" s="1862" t="s">
        <v>487</v>
      </c>
      <c r="AP43" s="1340" t="s">
        <v>452</v>
      </c>
      <c r="AQ43" s="2272" t="s">
        <v>453</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111</v>
      </c>
      <c r="T44" s="1257" t="s">
        <v>112</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209</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125</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209</v>
      </c>
      <c r="B46" s="1365" t="s">
        <v>210</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406</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407</v>
      </c>
      <c r="AW46" s="502"/>
      <c r="AX46" s="502" t="str">
        <f>IF(T46="","",T46)</f>
        <v>Территория действия тарифа</v>
      </c>
      <c r="AY46" s="502"/>
      <c r="AZ46" s="502"/>
      <c r="BA46" s="1157">
        <v>21</v>
      </c>
    </row>
    <row customHeight="1" ht="24">
      <c r="A47" s="1365" t="s">
        <v>209</v>
      </c>
      <c r="B47" s="1365" t="s">
        <v>210</v>
      </c>
      <c r="C47" s="1365" t="s">
        <v>211</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408</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409</v>
      </c>
      <c r="AW47" s="502"/>
      <c r="AX47" s="502" t="str">
        <f>IF(T47="","",T47)</f>
        <v>Наименование системы теплоснабжения </v>
      </c>
      <c r="AY47" s="502"/>
      <c r="AZ47" s="502"/>
      <c r="BA47" s="1157">
        <v>23</v>
      </c>
    </row>
    <row customHeight="1" ht="21">
      <c r="A48" s="1365" t="s">
        <v>209</v>
      </c>
      <c r="B48" s="1365" t="s">
        <v>210</v>
      </c>
      <c r="C48" s="1365" t="s">
        <v>211</v>
      </c>
      <c r="D48" s="1365" t="s">
        <v>212</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410</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411</v>
      </c>
      <c r="AW48" s="502"/>
      <c r="AX48" s="502" t="str">
        <f>IF(T48="","",T48)</f>
        <v>Источник тепловой энергии  </v>
      </c>
      <c r="AY48" s="502"/>
      <c r="AZ48" s="502"/>
      <c r="BA48" s="1157">
        <v>20</v>
      </c>
    </row>
    <row s="1644" customFormat="1" customHeight="1" ht="0.75">
      <c r="A49" s="1345" t="s">
        <v>209</v>
      </c>
      <c r="B49" s="1345" t="s">
        <v>210</v>
      </c>
      <c r="C49" s="1345" t="s">
        <v>211</v>
      </c>
      <c r="D49" s="1345" t="s">
        <v>212</v>
      </c>
      <c r="E49" s="2261"/>
      <c r="F49" s="2261"/>
      <c r="G49" s="2261"/>
      <c r="H49" s="2261"/>
      <c r="I49" s="2258" t="str">
        <f>S48&amp;".1"</f>
        <v>....1</v>
      </c>
      <c r="J49" s="1345"/>
      <c r="K49" s="1345"/>
      <c r="L49" s="1348" t="s">
        <v>412</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209</v>
      </c>
      <c r="B50" s="1345" t="s">
        <v>210</v>
      </c>
      <c r="C50" s="1345" t="s">
        <v>211</v>
      </c>
      <c r="D50" s="1345" t="s">
        <v>212</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209</v>
      </c>
      <c r="B51" s="1365" t="s">
        <v>210</v>
      </c>
      <c r="C51" s="1365" t="s">
        <v>211</v>
      </c>
      <c r="D51" s="1365" t="s">
        <v>212</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68</v>
      </c>
      <c r="Z51" s="1736"/>
      <c r="AA51" s="1461" t="s">
        <v>68</v>
      </c>
      <c r="AB51" s="2109" t="s">
        <v>19</v>
      </c>
      <c r="AC51" s="2328"/>
      <c r="AD51" s="2207">
        <v>1</v>
      </c>
      <c r="AE51" s="2350" t="s">
        <v>28</v>
      </c>
      <c r="AF51" s="2109" t="s">
        <v>19</v>
      </c>
      <c r="AG51" s="2328"/>
      <c r="AH51" s="2207">
        <v>1</v>
      </c>
      <c r="AI51" s="2350" t="s">
        <v>28</v>
      </c>
      <c r="AJ51" s="2109" t="s">
        <v>19</v>
      </c>
      <c r="AK51" s="313"/>
      <c r="AL51" s="1339">
        <v>1</v>
      </c>
      <c r="AM51" s="1404"/>
      <c r="AN51" s="753"/>
      <c r="AO51" s="1259"/>
      <c r="AP51" s="1736"/>
      <c r="AQ51" s="1461" t="s">
        <v>68</v>
      </c>
      <c r="AR51" s="1736"/>
      <c r="AS51" s="1461" t="s">
        <v>68</v>
      </c>
      <c r="AT51" s="1350"/>
      <c r="AU51" s="2255" t="s">
        <v>488</v>
      </c>
      <c r="AV51" s="513">
        <f>STRCHECKDATE(V54:AT54)</f>
      </c>
      <c r="AW51" s="502"/>
      <c r="AX51" s="502" t="str">
        <f>IF(T51="","",T51)</f>
        <v/>
      </c>
      <c r="AY51" s="502"/>
      <c r="AZ51" s="502"/>
      <c r="BA51" s="1157">
        <v>21</v>
      </c>
    </row>
    <row customHeight="1" ht="11.25">
      <c r="A52" s="1365" t="s">
        <v>209</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473</v>
      </c>
      <c r="AN52" s="1395"/>
      <c r="AO52" s="1498"/>
      <c r="AP52" s="1395"/>
      <c r="AQ52" s="1395"/>
      <c r="AR52" s="1395"/>
      <c r="AS52" s="1395"/>
      <c r="AT52" s="1392"/>
      <c r="AU52" s="2256"/>
      <c r="AW52" s="502"/>
      <c r="AX52" s="502"/>
      <c r="AY52" s="502"/>
      <c r="AZ52" s="502"/>
      <c r="BA52" s="1157">
        <v>11</v>
      </c>
    </row>
    <row customHeight="1" ht="11.25">
      <c r="A53" s="1365" t="s">
        <v>209</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474</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209</v>
      </c>
      <c r="B54" s="1365" t="s">
        <v>210</v>
      </c>
      <c r="C54" s="1365" t="s">
        <v>211</v>
      </c>
      <c r="D54" s="1365" t="s">
        <v>212</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475</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209</v>
      </c>
      <c r="B55" s="1365" t="s">
        <v>210</v>
      </c>
      <c r="C55" s="1365" t="s">
        <v>211</v>
      </c>
      <c r="D55" s="1365" t="s">
        <v>212</v>
      </c>
      <c r="E55" s="2261"/>
      <c r="F55" s="2261"/>
      <c r="G55" s="2261"/>
      <c r="H55" s="2261"/>
      <c r="I55" s="2288"/>
      <c r="J55" s="2258"/>
      <c r="K55" s="1365"/>
      <c r="L55" s="1366"/>
      <c r="P55" s="2259"/>
      <c r="Q55" s="2259"/>
      <c r="R55" s="358"/>
      <c r="S55" s="1280"/>
      <c r="T55" s="289" t="s">
        <v>476</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209</v>
      </c>
      <c r="B56" s="1345" t="s">
        <v>210</v>
      </c>
      <c r="C56" s="1345" t="s">
        <v>211</v>
      </c>
      <c r="D56" s="1345" t="s">
        <v>212</v>
      </c>
      <c r="E56" s="2261"/>
      <c r="F56" s="2261"/>
      <c r="G56" s="2261"/>
      <c r="H56" s="2261"/>
      <c r="I56" s="2258"/>
      <c r="J56" s="1345"/>
      <c r="K56" s="1345"/>
      <c r="L56" s="1348"/>
      <c r="M56" s="512"/>
      <c r="N56" s="512"/>
      <c r="O56" s="512"/>
      <c r="P56" s="2259"/>
      <c r="Q56" s="1333"/>
      <c r="R56" s="358"/>
      <c r="S56" s="1388"/>
      <c r="T56" s="1389" t="s">
        <v>421</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209</v>
      </c>
      <c r="B57" s="1345" t="s">
        <v>210</v>
      </c>
      <c r="C57" s="1345" t="s">
        <v>211</v>
      </c>
      <c r="D57" s="1345" t="s">
        <v>212</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209</v>
      </c>
      <c r="B58" s="1345" t="s">
        <v>210</v>
      </c>
      <c r="C58" s="1345" t="s">
        <v>211</v>
      </c>
      <c r="D58" s="1316"/>
      <c r="E58" s="2261"/>
      <c r="F58" s="2261"/>
      <c r="G58" s="2260"/>
      <c r="H58" s="1316"/>
      <c r="I58" s="1316"/>
      <c r="J58" s="1316"/>
      <c r="K58" s="1316"/>
      <c r="L58" s="1341"/>
      <c r="M58" s="1317"/>
      <c r="N58" s="1317"/>
      <c r="P58" s="1318"/>
      <c r="Q58" s="1319"/>
      <c r="R58" s="1318"/>
      <c r="S58" s="1324"/>
      <c r="T58" s="1327" t="s">
        <v>172</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209</v>
      </c>
      <c r="B59" s="1345" t="s">
        <v>210</v>
      </c>
      <c r="C59" s="1316"/>
      <c r="D59" s="1316"/>
      <c r="E59" s="2261"/>
      <c r="F59" s="2260"/>
      <c r="G59" s="1316"/>
      <c r="H59" s="1316"/>
      <c r="I59" s="1316"/>
      <c r="J59" s="1316"/>
      <c r="K59" s="1316"/>
      <c r="L59" s="1341"/>
      <c r="M59" s="1323"/>
      <c r="N59" s="1323"/>
      <c r="P59" s="1318"/>
      <c r="Q59" s="1319"/>
      <c r="R59" s="1318"/>
      <c r="S59" s="1324"/>
      <c r="T59" s="1327" t="s">
        <v>173</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209</v>
      </c>
      <c r="B60" s="1345"/>
      <c r="C60" s="1345"/>
      <c r="D60" s="1345"/>
      <c r="E60" s="2261"/>
      <c r="F60" s="1345"/>
      <c r="G60" s="1345"/>
      <c r="H60" s="1345"/>
      <c r="I60" s="1345"/>
      <c r="J60" s="1345"/>
      <c r="K60" s="1345"/>
      <c r="L60" s="1348"/>
      <c r="M60" s="1323"/>
      <c r="N60" s="1323"/>
      <c r="O60" s="520"/>
      <c r="P60" s="382"/>
      <c r="Q60" s="1346"/>
      <c r="R60" s="382"/>
      <c r="S60" s="1324"/>
      <c r="T60" s="1327" t="s">
        <v>174</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209</v>
      </c>
      <c r="B61" s="1345"/>
      <c r="C61" s="1345"/>
      <c r="D61" s="1345"/>
      <c r="E61" s="2260"/>
      <c r="F61" s="1345"/>
      <c r="G61" s="1345"/>
      <c r="H61" s="1345"/>
      <c r="I61" s="1345"/>
      <c r="J61" s="1345"/>
      <c r="K61" s="1345"/>
      <c r="L61" s="1348"/>
      <c r="M61" s="1323"/>
      <c r="N61" s="1323"/>
      <c r="O61" s="520"/>
      <c r="P61" s="382"/>
      <c r="Q61" s="1346"/>
      <c r="R61" s="382"/>
      <c r="S61" s="1324"/>
      <c r="T61" s="1327" t="s">
        <v>174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175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84</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4D881F-E5EC-D40D-3D13-0.281B1ECC}"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406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489</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490</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491</v>
      </c>
      <c r="U5" s="302"/>
      <c r="V5" s="2352"/>
      <c r="W5" s="2353"/>
      <c r="X5" s="2353"/>
      <c r="Y5" s="2353"/>
      <c r="Z5" s="2353"/>
      <c r="AA5" s="2353"/>
      <c r="AB5" s="2354"/>
      <c r="AC5" s="2355"/>
      <c r="AD5" s="2356"/>
      <c r="AE5" s="2356"/>
      <c r="AF5" s="2356"/>
      <c r="AG5" s="2356"/>
      <c r="AH5" s="2356"/>
      <c r="AI5" s="2356"/>
      <c r="AJ5" s="2357"/>
      <c r="AK5" s="1260" t="s">
        <v>492</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415</v>
      </c>
      <c r="P6" s="2259"/>
      <c r="Q6" s="2259">
        <v>1</v>
      </c>
      <c r="R6" s="359"/>
      <c r="S6" s="1427">
        <f>$J6</f>
      </c>
      <c r="T6" s="288" t="s">
        <v>416</v>
      </c>
      <c r="U6" s="302"/>
      <c r="V6" s="2247"/>
      <c r="W6" s="2248"/>
      <c r="X6" s="2248"/>
      <c r="Y6" s="2248"/>
      <c r="Z6" s="2248"/>
      <c r="AA6" s="2248"/>
      <c r="AB6" s="2249"/>
      <c r="AC6" s="2247"/>
      <c r="AD6" s="2248"/>
      <c r="AE6" s="2248"/>
      <c r="AF6" s="2248"/>
      <c r="AG6" s="2248"/>
      <c r="AH6" s="2248"/>
      <c r="AI6" s="2248"/>
      <c r="AJ6" s="2249"/>
      <c r="AK6" s="1309" t="s">
        <v>493</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68</v>
      </c>
      <c r="AA7" s="2267"/>
      <c r="AB7" s="2109" t="s">
        <v>68</v>
      </c>
      <c r="AC7" s="753"/>
      <c r="AD7" s="753"/>
      <c r="AE7" s="1259"/>
      <c r="AF7" s="2267"/>
      <c r="AG7" s="2109" t="s">
        <v>68</v>
      </c>
      <c r="AH7" s="2289"/>
      <c r="AI7" s="2109" t="s">
        <v>68</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494</v>
      </c>
      <c r="U9" s="369"/>
      <c r="V9" s="369"/>
      <c r="W9" s="369"/>
      <c r="X9" s="369"/>
      <c r="Y9" s="369"/>
      <c r="Z9" s="369"/>
      <c r="AA9" s="369"/>
      <c r="AB9" s="369"/>
      <c r="AC9" s="369"/>
      <c r="AD9" s="369"/>
      <c r="AE9" s="369"/>
      <c r="AF9" s="369"/>
      <c r="AG9" s="369"/>
      <c r="AH9" s="369"/>
      <c r="AI9" s="369"/>
      <c r="AJ9" s="369"/>
      <c r="AK9" s="1260" t="s">
        <v>495</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421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496</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173</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174</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68</v>
      </c>
      <c r="AH15" s="2269"/>
      <c r="AI15" s="2270" t="s">
        <v>68</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423</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424</v>
      </c>
      <c r="P20" s="1364"/>
      <c r="Q20" s="1444"/>
      <c r="R20" s="1444"/>
      <c r="S20" s="731"/>
      <c r="T20" s="1162" t="s">
        <v>425</v>
      </c>
      <c r="Z20" s="188" t="s">
        <v>426</v>
      </c>
      <c r="AB20" s="188" t="s">
        <v>427</v>
      </c>
      <c r="AC20" s="1162" t="s">
        <v>425</v>
      </c>
      <c r="AG20" s="188" t="s">
        <v>428</v>
      </c>
      <c r="AI20" s="188" t="s">
        <v>427</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43</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429</v>
      </c>
      <c r="T28" s="2252"/>
      <c r="U28" s="1374"/>
      <c r="V28" s="2266" t="str">
        <f>IF(TITLE_DATE_PR_CHANGE="",IF(TITLE_DATE_PR="","",TITLE_DATE_PR),TITLE_DATE_PR_CHANGE)</f>
        <v>46141.35650462963</v>
      </c>
      <c r="W28" s="2266"/>
      <c r="X28" s="2266"/>
      <c r="Y28" s="2266"/>
      <c r="Z28" s="2266"/>
      <c r="AA28" s="2266"/>
      <c r="AB28" s="328"/>
      <c r="AC28" s="2266" t="str">
        <f>IF(TITLE_DATE_PR_CHANGE="",IF(TITLE_DATE_PR="","",TITLE_DATE_PR),TITLE_DATE_PR_CHANGE)</f>
        <v>46141.35650462963</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430</v>
      </c>
      <c r="T29" s="2252"/>
      <c r="U29" s="1374"/>
      <c r="V29" s="2253" t="str">
        <f>IF(TITLE_NUMBER_PR_CHANGE="",IF(TITLE_NUMBER_PR="","",TITLE_NUMBER_PR),TITLE_NUMBER_PR_CHANGE)</f>
        <v>вх. О-1106 (исх. №382 от 29.04.2026)</v>
      </c>
      <c r="W29" s="2253"/>
      <c r="X29" s="2253"/>
      <c r="Y29" s="2253"/>
      <c r="Z29" s="2253"/>
      <c r="AA29" s="2253"/>
      <c r="AB29" s="328"/>
      <c r="AC29" s="2253" t="str">
        <f>IF(TITLE_NUMBER_PR_CHANGE="",IF(TITLE_NUMBER_PR="","",TITLE_NUMBER_PR),TITLE_NUMBER_PR_CHANGE)</f>
        <v>вх. О-1106 (исх. №382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44</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431</v>
      </c>
      <c r="T32" s="2252"/>
      <c r="U32" s="1374"/>
      <c r="V32" s="2266" t="str">
        <f>IF(TITLE_DATE_PR_CHANGE="",IF(TITLE_DATE_PR="","",TITLE_DATE_PR),TITLE_DATE_PR_CHANGE)</f>
        <v>46141.35650462963</v>
      </c>
      <c r="W32" s="2266"/>
      <c r="X32" s="2266"/>
      <c r="Y32" s="2266"/>
      <c r="Z32" s="2266"/>
      <c r="AA32" s="2266"/>
      <c r="AB32" s="328"/>
      <c r="AC32" s="2266" t="str">
        <f>IF(TITLE_DATE_PR_CHANGE="",IF(TITLE_DATE_PR="","",TITLE_DATE_PR),TITLE_DATE_PR_CHANGE)</f>
        <v>46141.35650462963</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432</v>
      </c>
      <c r="T33" s="2252"/>
      <c r="U33" s="1374"/>
      <c r="V33" s="2253" t="str">
        <f>IF(TITLE_NUMBER_PR_CHANGE="",IF(TITLE_NUMBER_PR="","",TITLE_NUMBER_PR),TITLE_NUMBER_PR_CHANGE)</f>
        <v>вх. О-1106 (исх. №382 от 29.04.2026)</v>
      </c>
      <c r="W33" s="2253"/>
      <c r="X33" s="2253"/>
      <c r="Y33" s="2253"/>
      <c r="Z33" s="2253"/>
      <c r="AA33" s="2253"/>
      <c r="AB33" s="328"/>
      <c r="AC33" s="2253" t="str">
        <f>IF(TITLE_NUMBER_PR_CHANGE="",IF(TITLE_NUMBER_PR="","",TITLE_NUMBER_PR),TITLE_NUMBER_PR_CHANGE)</f>
        <v>вх. О-1106 (исх. №382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433</v>
      </c>
      <c r="AC34" s="328"/>
      <c r="AD34" s="328"/>
      <c r="AE34" s="328"/>
      <c r="AF34" s="328"/>
      <c r="AG34" s="328"/>
      <c r="AH34" s="328"/>
      <c r="AI34" s="280" t="s">
        <v>433</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309</v>
      </c>
      <c r="T36" s="2129"/>
      <c r="U36" s="2129"/>
      <c r="V36" s="2129"/>
      <c r="W36" s="2129"/>
      <c r="X36" s="2129"/>
      <c r="Y36" s="2129"/>
      <c r="Z36" s="2129"/>
      <c r="AA36" s="2129"/>
      <c r="AB36" s="2129"/>
      <c r="AC36" s="2129"/>
      <c r="AD36" s="2129"/>
      <c r="AE36" s="2129"/>
      <c r="AF36" s="2129"/>
      <c r="AG36" s="2129"/>
      <c r="AH36" s="2129"/>
      <c r="AI36" s="2129"/>
      <c r="AJ36" s="2129"/>
      <c r="AK36" s="2129" t="s">
        <v>310</v>
      </c>
      <c r="AQ36" s="1157">
        <v>14</v>
      </c>
    </row>
    <row customHeight="1" ht="15">
      <c r="Q37" s="378"/>
      <c r="R37" s="378"/>
      <c r="S37" s="2275" t="s">
        <v>90</v>
      </c>
      <c r="T37" s="2211" t="s">
        <v>434</v>
      </c>
      <c r="U37" s="303"/>
      <c r="V37" s="2276" t="s">
        <v>435</v>
      </c>
      <c r="W37" s="2277"/>
      <c r="X37" s="2277"/>
      <c r="Y37" s="2277"/>
      <c r="Z37" s="2277"/>
      <c r="AA37" s="2278"/>
      <c r="AB37" s="2279" t="s">
        <v>436</v>
      </c>
      <c r="AC37" s="2276" t="s">
        <v>435</v>
      </c>
      <c r="AD37" s="2277"/>
      <c r="AE37" s="2277"/>
      <c r="AF37" s="2277"/>
      <c r="AG37" s="2277"/>
      <c r="AH37" s="2278"/>
      <c r="AI37" s="2279" t="s">
        <v>437</v>
      </c>
      <c r="AJ37" s="2282" t="s">
        <v>438</v>
      </c>
      <c r="AK37" s="2129"/>
      <c r="AQ37" s="1157">
        <v>14</v>
      </c>
    </row>
    <row customHeight="1" ht="36">
      <c r="Q38" s="378"/>
      <c r="R38" s="378"/>
      <c r="S38" s="2275"/>
      <c r="T38" s="2211"/>
      <c r="U38" s="1033"/>
      <c r="V38" s="1354" t="s">
        <v>497</v>
      </c>
      <c r="W38" s="2264" t="s">
        <v>441</v>
      </c>
      <c r="X38" s="2265"/>
      <c r="Y38" s="2264" t="s">
        <v>442</v>
      </c>
      <c r="Z38" s="2271"/>
      <c r="AA38" s="2265"/>
      <c r="AB38" s="2280"/>
      <c r="AC38" s="1354" t="s">
        <v>497</v>
      </c>
      <c r="AD38" s="2264" t="s">
        <v>441</v>
      </c>
      <c r="AE38" s="2265"/>
      <c r="AF38" s="2264" t="s">
        <v>442</v>
      </c>
      <c r="AG38" s="2271"/>
      <c r="AH38" s="2265"/>
      <c r="AI38" s="2280"/>
      <c r="AJ38" s="2283"/>
      <c r="AK38" s="2129"/>
      <c r="AQ38" s="1157">
        <v>34</v>
      </c>
    </row>
    <row customHeight="1" ht="36">
      <c r="A39" s="1372"/>
      <c r="B39" s="1372" t="s">
        <v>137</v>
      </c>
      <c r="C39" s="1372" t="s">
        <v>138</v>
      </c>
      <c r="D39" s="1372" t="s">
        <v>139</v>
      </c>
      <c r="E39" s="1366" t="s">
        <v>443</v>
      </c>
      <c r="F39" s="1366" t="s">
        <v>444</v>
      </c>
      <c r="G39" s="1366" t="s">
        <v>445</v>
      </c>
      <c r="H39" s="1366"/>
      <c r="I39" s="1366" t="s">
        <v>498</v>
      </c>
      <c r="J39" s="1366" t="s">
        <v>448</v>
      </c>
      <c r="K39" s="1366" t="s">
        <v>499</v>
      </c>
      <c r="L39" s="1366" t="s">
        <v>424</v>
      </c>
      <c r="Q39" s="378"/>
      <c r="R39" s="378"/>
      <c r="S39" s="2275"/>
      <c r="T39" s="2211"/>
      <c r="U39" s="304"/>
      <c r="V39" s="1354" t="s">
        <v>500</v>
      </c>
      <c r="W39" s="1224" t="s">
        <v>501</v>
      </c>
      <c r="X39" s="1224" t="s">
        <v>502</v>
      </c>
      <c r="Y39" s="1359" t="s">
        <v>452</v>
      </c>
      <c r="Z39" s="2272" t="s">
        <v>453</v>
      </c>
      <c r="AA39" s="2273"/>
      <c r="AB39" s="2281"/>
      <c r="AC39" s="1354" t="s">
        <v>500</v>
      </c>
      <c r="AD39" s="1224" t="s">
        <v>501</v>
      </c>
      <c r="AE39" s="1224" t="s">
        <v>502</v>
      </c>
      <c r="AF39" s="1359" t="s">
        <v>452</v>
      </c>
      <c r="AG39" s="2272" t="s">
        <v>453</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111</v>
      </c>
      <c r="T40" s="1257" t="s">
        <v>112</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235</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235</v>
      </c>
      <c r="B42" s="1365" t="s">
        <v>236</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406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407</v>
      </c>
      <c r="AM42" s="502"/>
      <c r="AN42" s="502" t="str">
        <f>IF(T42="","",T42)</f>
        <v>Территория действия тарифа</v>
      </c>
      <c r="AO42" s="502"/>
      <c r="AP42" s="502"/>
      <c r="AQ42" s="1157">
        <v>23</v>
      </c>
    </row>
    <row customHeight="1" ht="24">
      <c r="A43" s="1365" t="s">
        <v>235</v>
      </c>
      <c r="B43" s="1365" t="s">
        <v>236</v>
      </c>
      <c r="C43" s="1365" t="s">
        <v>237</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489</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490</v>
      </c>
      <c r="AM43" s="502"/>
      <c r="AN43" s="502" t="str">
        <f>IF(T43="","",T43)</f>
        <v>Наименование централизованной системы холодного водоснабжения</v>
      </c>
      <c r="AO43" s="502"/>
      <c r="AP43" s="502"/>
      <c r="AQ43" s="1157">
        <v>23</v>
      </c>
    </row>
    <row customHeight="1" ht="24">
      <c r="A44" s="1365" t="s">
        <v>235</v>
      </c>
      <c r="B44" s="1365" t="s">
        <v>236</v>
      </c>
      <c r="C44" s="1365" t="s">
        <v>237</v>
      </c>
      <c r="D44" s="1365" t="s">
        <v>503</v>
      </c>
      <c r="E44" s="2261"/>
      <c r="F44" s="2261"/>
      <c r="G44" s="2261"/>
      <c r="H44" s="2261"/>
      <c r="I44" s="2258" t="str">
        <f>S43&amp;".1"</f>
        <v>...1</v>
      </c>
      <c r="J44" s="1365"/>
      <c r="K44" s="1365"/>
      <c r="L44" s="1366"/>
      <c r="P44" s="2259">
        <v>1</v>
      </c>
      <c r="Q44" s="1356"/>
      <c r="R44" s="358"/>
      <c r="S44" s="1360" t="str">
        <f>$I44</f>
        <v>...1</v>
      </c>
      <c r="T44" s="287" t="s">
        <v>491</v>
      </c>
      <c r="U44" s="302"/>
      <c r="V44" s="2352"/>
      <c r="W44" s="2353"/>
      <c r="X44" s="2353"/>
      <c r="Y44" s="2353"/>
      <c r="Z44" s="2353"/>
      <c r="AA44" s="2353"/>
      <c r="AB44" s="2354"/>
      <c r="AC44" s="2355"/>
      <c r="AD44" s="2356"/>
      <c r="AE44" s="2356"/>
      <c r="AF44" s="2356"/>
      <c r="AG44" s="2356"/>
      <c r="AH44" s="2356"/>
      <c r="AI44" s="2356"/>
      <c r="AJ44" s="2357"/>
      <c r="AK44" s="1260" t="s">
        <v>492</v>
      </c>
      <c r="AM44" s="502"/>
      <c r="AN44" s="502" t="str">
        <f>IF(T44="","",T44)</f>
        <v>Наименование признака дифференциации</v>
      </c>
      <c r="AO44" s="502"/>
      <c r="AP44" s="502"/>
      <c r="AQ44" s="1157">
        <v>23</v>
      </c>
    </row>
    <row customHeight="1" ht="24">
      <c r="A45" s="1365" t="s">
        <v>235</v>
      </c>
      <c r="B45" s="1365" t="s">
        <v>236</v>
      </c>
      <c r="C45" s="1365" t="s">
        <v>237</v>
      </c>
      <c r="D45" s="1365" t="s">
        <v>503</v>
      </c>
      <c r="E45" s="2261"/>
      <c r="F45" s="2261"/>
      <c r="G45" s="2261"/>
      <c r="H45" s="2261"/>
      <c r="I45" s="2288"/>
      <c r="J45" s="2258" t="str">
        <f>I44&amp;".1"</f>
        <v>...1.1</v>
      </c>
      <c r="K45" s="1365"/>
      <c r="L45" s="1366" t="s">
        <v>415</v>
      </c>
      <c r="P45" s="2259"/>
      <c r="Q45" s="2259">
        <v>1</v>
      </c>
      <c r="R45" s="359"/>
      <c r="S45" s="1360" t="str">
        <f>$J45</f>
        <v>...1.1</v>
      </c>
      <c r="T45" s="288" t="s">
        <v>416</v>
      </c>
      <c r="U45" s="302"/>
      <c r="V45" s="2247"/>
      <c r="W45" s="2248"/>
      <c r="X45" s="2248"/>
      <c r="Y45" s="2248"/>
      <c r="Z45" s="2248"/>
      <c r="AA45" s="2248"/>
      <c r="AB45" s="2249"/>
      <c r="AC45" s="2247"/>
      <c r="AD45" s="2248"/>
      <c r="AE45" s="2248"/>
      <c r="AF45" s="2248"/>
      <c r="AG45" s="2248"/>
      <c r="AH45" s="2248"/>
      <c r="AI45" s="2248"/>
      <c r="AJ45" s="2249"/>
      <c r="AK45" s="1309" t="s">
        <v>493</v>
      </c>
      <c r="AM45" s="502"/>
      <c r="AN45" s="502" t="str">
        <f>IF(T45="","",T45)</f>
        <v>Группа потребителей</v>
      </c>
      <c r="AO45" s="502"/>
      <c r="AP45" s="502"/>
      <c r="AQ45" s="1157">
        <v>23</v>
      </c>
    </row>
    <row customHeight="1" ht="24">
      <c r="A46" s="1365" t="s">
        <v>235</v>
      </c>
      <c r="B46" s="1365" t="s">
        <v>236</v>
      </c>
      <c r="C46" s="1365" t="s">
        <v>237</v>
      </c>
      <c r="D46" s="1365" t="s">
        <v>503</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68</v>
      </c>
      <c r="AA46" s="2269"/>
      <c r="AB46" s="2270" t="s">
        <v>68</v>
      </c>
      <c r="AC46" s="753"/>
      <c r="AD46" s="753"/>
      <c r="AE46" s="1259"/>
      <c r="AF46" s="2267"/>
      <c r="AG46" s="2109" t="s">
        <v>68</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235</v>
      </c>
      <c r="B47" s="1365" t="s">
        <v>236</v>
      </c>
      <c r="C47" s="1365" t="s">
        <v>237</v>
      </c>
      <c r="D47" s="1365" t="s">
        <v>503</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235</v>
      </c>
      <c r="B48" s="1365" t="s">
        <v>236</v>
      </c>
      <c r="C48" s="1365" t="s">
        <v>237</v>
      </c>
      <c r="D48" s="1365" t="s">
        <v>503</v>
      </c>
      <c r="E48" s="2261"/>
      <c r="F48" s="2261"/>
      <c r="G48" s="2261"/>
      <c r="H48" s="2261"/>
      <c r="I48" s="2288"/>
      <c r="J48" s="2258"/>
      <c r="K48" s="1365"/>
      <c r="L48" s="1366"/>
      <c r="P48" s="2259"/>
      <c r="Q48" s="2259"/>
      <c r="R48" s="358"/>
      <c r="S48" s="1280"/>
      <c r="T48" s="289" t="s">
        <v>494</v>
      </c>
      <c r="U48" s="369"/>
      <c r="V48" s="369"/>
      <c r="W48" s="369"/>
      <c r="X48" s="369"/>
      <c r="Y48" s="369"/>
      <c r="Z48" s="369"/>
      <c r="AA48" s="369"/>
      <c r="AB48" s="369"/>
      <c r="AC48" s="369"/>
      <c r="AD48" s="369"/>
      <c r="AE48" s="369"/>
      <c r="AF48" s="369"/>
      <c r="AG48" s="369"/>
      <c r="AH48" s="369"/>
      <c r="AI48" s="369"/>
      <c r="AJ48" s="369"/>
      <c r="AK48" s="1260" t="s">
        <v>495</v>
      </c>
      <c r="AM48" s="502"/>
      <c r="AN48" s="502" t="str">
        <f>IF(T48="","",T48)</f>
        <v>Добавить значение признака дифференциации</v>
      </c>
      <c r="AO48" s="502"/>
      <c r="AP48" s="502"/>
      <c r="AQ48" s="1157">
        <v>20</v>
      </c>
    </row>
    <row customHeight="1" ht="21.75">
      <c r="A49" s="1365" t="s">
        <v>235</v>
      </c>
      <c r="B49" s="1365" t="s">
        <v>236</v>
      </c>
      <c r="C49" s="1365" t="s">
        <v>237</v>
      </c>
      <c r="D49" s="1365" t="s">
        <v>503</v>
      </c>
      <c r="E49" s="2261"/>
      <c r="F49" s="2261"/>
      <c r="G49" s="2261"/>
      <c r="H49" s="2261"/>
      <c r="I49" s="2258"/>
      <c r="J49" s="1365"/>
      <c r="K49" s="1365"/>
      <c r="L49" s="1366"/>
      <c r="P49" s="2259"/>
      <c r="Q49" s="1356"/>
      <c r="R49" s="358"/>
      <c r="S49" s="1280"/>
      <c r="T49" s="367" t="s">
        <v>421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235</v>
      </c>
      <c r="B50" s="1365" t="s">
        <v>236</v>
      </c>
      <c r="C50" s="1365" t="s">
        <v>237</v>
      </c>
      <c r="D50" s="1365" t="s">
        <v>503</v>
      </c>
      <c r="E50" s="2261"/>
      <c r="F50" s="2261"/>
      <c r="G50" s="2261"/>
      <c r="H50" s="2260"/>
      <c r="I50" s="1365"/>
      <c r="J50" s="1365"/>
      <c r="K50" s="1365"/>
      <c r="L50" s="1366"/>
      <c r="M50" s="1367"/>
      <c r="N50" s="1367"/>
      <c r="O50" s="539"/>
      <c r="P50" s="362"/>
      <c r="Q50" s="377"/>
      <c r="R50" s="357"/>
      <c r="S50" s="1280"/>
      <c r="T50" s="374" t="s">
        <v>496</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235</v>
      </c>
      <c r="B51" s="1345" t="s">
        <v>236</v>
      </c>
      <c r="C51" s="1316"/>
      <c r="D51" s="1316"/>
      <c r="E51" s="2261"/>
      <c r="F51" s="2260"/>
      <c r="G51" s="1316"/>
      <c r="H51" s="1316"/>
      <c r="I51" s="1316"/>
      <c r="J51" s="1316"/>
      <c r="K51" s="1316"/>
      <c r="L51" s="1428"/>
      <c r="M51" s="1323"/>
      <c r="N51" s="1323"/>
      <c r="P51" s="1318"/>
      <c r="Q51" s="1319"/>
      <c r="R51" s="1318"/>
      <c r="S51" s="1324"/>
      <c r="T51" s="1327" t="s">
        <v>173</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235</v>
      </c>
      <c r="B52" s="1345"/>
      <c r="C52" s="1345"/>
      <c r="D52" s="1345"/>
      <c r="E52" s="2260"/>
      <c r="F52" s="1345"/>
      <c r="G52" s="1345"/>
      <c r="H52" s="1345"/>
      <c r="I52" s="1345"/>
      <c r="J52" s="1345"/>
      <c r="K52" s="1345"/>
      <c r="L52" s="1348"/>
      <c r="M52" s="1323"/>
      <c r="N52" s="1323"/>
      <c r="O52" s="520"/>
      <c r="P52" s="382"/>
      <c r="Q52" s="1346"/>
      <c r="R52" s="382"/>
      <c r="S52" s="1324"/>
      <c r="T52" s="1327" t="s">
        <v>174</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175</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84</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38F257-7624-B2C8-FAEB-0.816C1DA2}"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489</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490</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491</v>
      </c>
      <c r="U5" s="302"/>
      <c r="V5" s="2352"/>
      <c r="W5" s="2353"/>
      <c r="X5" s="2353"/>
      <c r="Y5" s="2353"/>
      <c r="Z5" s="2353"/>
      <c r="AA5" s="2353"/>
      <c r="AB5" s="2354"/>
      <c r="AC5" s="2355"/>
      <c r="AD5" s="2356"/>
      <c r="AE5" s="2356"/>
      <c r="AF5" s="2356"/>
      <c r="AG5" s="2356"/>
      <c r="AH5" s="2356"/>
      <c r="AI5" s="2356"/>
      <c r="AJ5" s="2357"/>
      <c r="AK5" s="1260" t="s">
        <v>492</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415</v>
      </c>
      <c r="P6" s="2259"/>
      <c r="Q6" s="2259">
        <v>1</v>
      </c>
      <c r="R6" s="359"/>
      <c r="S6" s="1459">
        <f>$J6</f>
      </c>
      <c r="T6" s="288" t="s">
        <v>416</v>
      </c>
      <c r="U6" s="302"/>
      <c r="V6" s="2247"/>
      <c r="W6" s="2248"/>
      <c r="X6" s="2248"/>
      <c r="Y6" s="2248"/>
      <c r="Z6" s="2248"/>
      <c r="AA6" s="2248"/>
      <c r="AB6" s="2249"/>
      <c r="AC6" s="2247"/>
      <c r="AD6" s="2248"/>
      <c r="AE6" s="2248"/>
      <c r="AF6" s="2248"/>
      <c r="AG6" s="2248"/>
      <c r="AH6" s="2248"/>
      <c r="AI6" s="2248"/>
      <c r="AJ6" s="2249"/>
      <c r="AK6" s="1309" t="s">
        <v>493</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68</v>
      </c>
      <c r="AA7" s="2267"/>
      <c r="AB7" s="2109" t="s">
        <v>68</v>
      </c>
      <c r="AC7" s="753"/>
      <c r="AD7" s="753"/>
      <c r="AE7" s="1259"/>
      <c r="AF7" s="2267"/>
      <c r="AG7" s="2109" t="s">
        <v>68</v>
      </c>
      <c r="AH7" s="2289"/>
      <c r="AI7" s="2109" t="s">
        <v>68</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494</v>
      </c>
      <c r="U9" s="369"/>
      <c r="V9" s="369"/>
      <c r="W9" s="369"/>
      <c r="X9" s="369"/>
      <c r="Y9" s="369"/>
      <c r="Z9" s="369"/>
      <c r="AA9" s="369"/>
      <c r="AB9" s="369"/>
      <c r="AC9" s="369"/>
      <c r="AD9" s="369"/>
      <c r="AE9" s="369"/>
      <c r="AF9" s="369"/>
      <c r="AG9" s="369"/>
      <c r="AH9" s="369"/>
      <c r="AI9" s="369"/>
      <c r="AJ9" s="369"/>
      <c r="AK9" s="1260" t="s">
        <v>495</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421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496</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173</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174</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68</v>
      </c>
      <c r="AH15" s="2269"/>
      <c r="AI15" s="2270" t="s">
        <v>68</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423</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424</v>
      </c>
      <c r="P20" s="1364"/>
      <c r="Q20" s="1444"/>
      <c r="R20" s="1444"/>
      <c r="S20" s="731"/>
      <c r="T20" s="1162" t="s">
        <v>425</v>
      </c>
      <c r="Z20" s="188" t="s">
        <v>426</v>
      </c>
      <c r="AB20" s="188" t="s">
        <v>427</v>
      </c>
      <c r="AC20" s="1162" t="s">
        <v>425</v>
      </c>
      <c r="AG20" s="188" t="s">
        <v>428</v>
      </c>
      <c r="AI20" s="188" t="s">
        <v>427</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43</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429</v>
      </c>
      <c r="T28" s="2252"/>
      <c r="U28" s="1374"/>
      <c r="V28" s="2266" t="str">
        <f>IF(TITLE_DATE_PR_CHANGE="",IF(TITLE_DATE_PR="","",TITLE_DATE_PR),TITLE_DATE_PR_CHANGE)</f>
        <v>46141.35650462963</v>
      </c>
      <c r="W28" s="2266"/>
      <c r="X28" s="2266"/>
      <c r="Y28" s="2266"/>
      <c r="Z28" s="2266"/>
      <c r="AA28" s="2266"/>
      <c r="AB28" s="328"/>
      <c r="AC28" s="2266" t="str">
        <f>IF(TITLE_DATE_PR_CHANGE="",IF(TITLE_DATE_PR="","",TITLE_DATE_PR),TITLE_DATE_PR_CHANGE)</f>
        <v>46141.35650462963</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430</v>
      </c>
      <c r="T29" s="2252"/>
      <c r="U29" s="1374"/>
      <c r="V29" s="2253" t="str">
        <f>IF(TITLE_NUMBER_PR_CHANGE="",IF(TITLE_NUMBER_PR="","",TITLE_NUMBER_PR),TITLE_NUMBER_PR_CHANGE)</f>
        <v>вх. О-1106 (исх. №382 от 29.04.2026)</v>
      </c>
      <c r="W29" s="2253"/>
      <c r="X29" s="2253"/>
      <c r="Y29" s="2253"/>
      <c r="Z29" s="2253"/>
      <c r="AA29" s="2253"/>
      <c r="AB29" s="328"/>
      <c r="AC29" s="2253" t="str">
        <f>IF(TITLE_NUMBER_PR_CHANGE="",IF(TITLE_NUMBER_PR="","",TITLE_NUMBER_PR),TITLE_NUMBER_PR_CHANGE)</f>
        <v>вх. О-1106 (исх. №382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44</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431</v>
      </c>
      <c r="T32" s="2252"/>
      <c r="U32" s="1374"/>
      <c r="V32" s="2266" t="str">
        <f>IF(TITLE_DATE_PR_CHANGE="",IF(TITLE_DATE_PR="","",TITLE_DATE_PR),TITLE_DATE_PR_CHANGE)</f>
        <v>46141.35650462963</v>
      </c>
      <c r="W32" s="2266"/>
      <c r="X32" s="2266"/>
      <c r="Y32" s="2266"/>
      <c r="Z32" s="2266"/>
      <c r="AA32" s="2266"/>
      <c r="AB32" s="328"/>
      <c r="AC32" s="2266" t="str">
        <f>IF(TITLE_DATE_PR_CHANGE="",IF(TITLE_DATE_PR="","",TITLE_DATE_PR),TITLE_DATE_PR_CHANGE)</f>
        <v>46141.35650462963</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432</v>
      </c>
      <c r="T33" s="2252"/>
      <c r="U33" s="1374"/>
      <c r="V33" s="2253" t="str">
        <f>IF(TITLE_NUMBER_PR_CHANGE="",IF(TITLE_NUMBER_PR="","",TITLE_NUMBER_PR),TITLE_NUMBER_PR_CHANGE)</f>
        <v>вх. О-1106 (исх. №382 от 29.04.2026)</v>
      </c>
      <c r="W33" s="2253"/>
      <c r="X33" s="2253"/>
      <c r="Y33" s="2253"/>
      <c r="Z33" s="2253"/>
      <c r="AA33" s="2253"/>
      <c r="AB33" s="328"/>
      <c r="AC33" s="2253" t="str">
        <f>IF(TITLE_NUMBER_PR_CHANGE="",IF(TITLE_NUMBER_PR="","",TITLE_NUMBER_PR),TITLE_NUMBER_PR_CHANGE)</f>
        <v>вх. О-1106 (исх. №382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433</v>
      </c>
      <c r="AC34" s="328"/>
      <c r="AD34" s="328"/>
      <c r="AE34" s="328"/>
      <c r="AF34" s="328"/>
      <c r="AG34" s="328"/>
      <c r="AH34" s="328"/>
      <c r="AI34" s="280" t="s">
        <v>433</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309</v>
      </c>
      <c r="T36" s="2129"/>
      <c r="U36" s="2129"/>
      <c r="V36" s="2129"/>
      <c r="W36" s="2129"/>
      <c r="X36" s="2129"/>
      <c r="Y36" s="2129"/>
      <c r="Z36" s="2129"/>
      <c r="AA36" s="2129"/>
      <c r="AB36" s="2129"/>
      <c r="AC36" s="2129"/>
      <c r="AD36" s="2129"/>
      <c r="AE36" s="2129"/>
      <c r="AF36" s="2129"/>
      <c r="AG36" s="2129"/>
      <c r="AH36" s="2129"/>
      <c r="AI36" s="2129"/>
      <c r="AJ36" s="2129"/>
      <c r="AK36" s="2129" t="s">
        <v>310</v>
      </c>
      <c r="AQ36" s="1157">
        <v>14</v>
      </c>
    </row>
    <row customHeight="1" ht="15">
      <c r="Q37" s="378"/>
      <c r="R37" s="378"/>
      <c r="S37" s="2275" t="s">
        <v>90</v>
      </c>
      <c r="T37" s="2211" t="s">
        <v>434</v>
      </c>
      <c r="U37" s="303"/>
      <c r="V37" s="2276" t="s">
        <v>435</v>
      </c>
      <c r="W37" s="2277"/>
      <c r="X37" s="2277"/>
      <c r="Y37" s="2277"/>
      <c r="Z37" s="2277"/>
      <c r="AA37" s="2278"/>
      <c r="AB37" s="2279" t="s">
        <v>436</v>
      </c>
      <c r="AC37" s="2276" t="s">
        <v>435</v>
      </c>
      <c r="AD37" s="2277"/>
      <c r="AE37" s="2277"/>
      <c r="AF37" s="2277"/>
      <c r="AG37" s="2277"/>
      <c r="AH37" s="2278"/>
      <c r="AI37" s="2279" t="s">
        <v>437</v>
      </c>
      <c r="AJ37" s="2282" t="s">
        <v>438</v>
      </c>
      <c r="AK37" s="2129"/>
      <c r="AQ37" s="1157">
        <v>14</v>
      </c>
    </row>
    <row customHeight="1" ht="36">
      <c r="Q38" s="378"/>
      <c r="R38" s="378"/>
      <c r="S38" s="2275"/>
      <c r="T38" s="2211"/>
      <c r="U38" s="1033"/>
      <c r="V38" s="1454" t="s">
        <v>497</v>
      </c>
      <c r="W38" s="2264" t="s">
        <v>441</v>
      </c>
      <c r="X38" s="2265"/>
      <c r="Y38" s="2264" t="s">
        <v>442</v>
      </c>
      <c r="Z38" s="2271"/>
      <c r="AA38" s="2265"/>
      <c r="AB38" s="2280"/>
      <c r="AC38" s="1454" t="s">
        <v>497</v>
      </c>
      <c r="AD38" s="2264" t="s">
        <v>441</v>
      </c>
      <c r="AE38" s="2265"/>
      <c r="AF38" s="2264" t="s">
        <v>442</v>
      </c>
      <c r="AG38" s="2271"/>
      <c r="AH38" s="2265"/>
      <c r="AI38" s="2280"/>
      <c r="AJ38" s="2283"/>
      <c r="AK38" s="2129"/>
      <c r="AQ38" s="1157">
        <v>34</v>
      </c>
    </row>
    <row customHeight="1" ht="36">
      <c r="A39" s="1372"/>
      <c r="B39" s="1372" t="s">
        <v>137</v>
      </c>
      <c r="C39" s="1372" t="s">
        <v>138</v>
      </c>
      <c r="D39" s="1372" t="s">
        <v>139</v>
      </c>
      <c r="E39" s="1366" t="s">
        <v>443</v>
      </c>
      <c r="F39" s="1366" t="s">
        <v>444</v>
      </c>
      <c r="G39" s="1366" t="s">
        <v>445</v>
      </c>
      <c r="H39" s="1366"/>
      <c r="I39" s="1366" t="s">
        <v>498</v>
      </c>
      <c r="J39" s="1366" t="s">
        <v>448</v>
      </c>
      <c r="K39" s="1366" t="s">
        <v>499</v>
      </c>
      <c r="L39" s="1366" t="s">
        <v>424</v>
      </c>
      <c r="Q39" s="378"/>
      <c r="R39" s="378"/>
      <c r="S39" s="2275"/>
      <c r="T39" s="2211"/>
      <c r="U39" s="304"/>
      <c r="V39" s="1454" t="s">
        <v>500</v>
      </c>
      <c r="W39" s="1224" t="s">
        <v>501</v>
      </c>
      <c r="X39" s="1224" t="s">
        <v>502</v>
      </c>
      <c r="Y39" s="1457" t="s">
        <v>452</v>
      </c>
      <c r="Z39" s="2272" t="s">
        <v>453</v>
      </c>
      <c r="AA39" s="2273"/>
      <c r="AB39" s="2281"/>
      <c r="AC39" s="1454" t="s">
        <v>500</v>
      </c>
      <c r="AD39" s="1224" t="s">
        <v>501</v>
      </c>
      <c r="AE39" s="1224" t="s">
        <v>502</v>
      </c>
      <c r="AF39" s="1457" t="s">
        <v>452</v>
      </c>
      <c r="AG39" s="2272" t="s">
        <v>453</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111</v>
      </c>
      <c r="T40" s="1257" t="s">
        <v>112</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240</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240</v>
      </c>
      <c r="B42" s="1365" t="s">
        <v>241</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407</v>
      </c>
      <c r="AM42" s="502"/>
      <c r="AN42" s="502" t="str">
        <f>IF(T42="","",T42)</f>
        <v>Территория действия тарифа</v>
      </c>
      <c r="AO42" s="502"/>
      <c r="AP42" s="502"/>
      <c r="AQ42" s="1157">
        <v>23</v>
      </c>
    </row>
    <row customHeight="1" ht="24">
      <c r="A43" s="1365" t="s">
        <v>240</v>
      </c>
      <c r="B43" s="1365" t="s">
        <v>241</v>
      </c>
      <c r="C43" s="1365" t="s">
        <v>242</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489</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490</v>
      </c>
      <c r="AM43" s="502"/>
      <c r="AN43" s="502" t="str">
        <f>IF(T43="","",T43)</f>
        <v>Наименование централизованной системы холодного водоснабжения</v>
      </c>
      <c r="AO43" s="502"/>
      <c r="AP43" s="502"/>
      <c r="AQ43" s="1157">
        <v>23</v>
      </c>
    </row>
    <row customHeight="1" ht="24">
      <c r="A44" s="1365" t="s">
        <v>240</v>
      </c>
      <c r="B44" s="1365" t="s">
        <v>241</v>
      </c>
      <c r="C44" s="1365" t="s">
        <v>242</v>
      </c>
      <c r="D44" s="1365" t="s">
        <v>504</v>
      </c>
      <c r="E44" s="2261"/>
      <c r="F44" s="2261"/>
      <c r="G44" s="2261"/>
      <c r="H44" s="2261"/>
      <c r="I44" s="2258" t="str">
        <f>S43&amp;".1"</f>
        <v>...1</v>
      </c>
      <c r="J44" s="1365"/>
      <c r="K44" s="1365"/>
      <c r="L44" s="1366"/>
      <c r="P44" s="2259">
        <v>1</v>
      </c>
      <c r="Q44" s="1452"/>
      <c r="R44" s="358"/>
      <c r="S44" s="1459" t="str">
        <f>$I44</f>
        <v>...1</v>
      </c>
      <c r="T44" s="287" t="s">
        <v>491</v>
      </c>
      <c r="U44" s="302"/>
      <c r="V44" s="2352"/>
      <c r="W44" s="2353"/>
      <c r="X44" s="2353"/>
      <c r="Y44" s="2353"/>
      <c r="Z44" s="2353"/>
      <c r="AA44" s="2353"/>
      <c r="AB44" s="2354"/>
      <c r="AC44" s="2355"/>
      <c r="AD44" s="2356"/>
      <c r="AE44" s="2356"/>
      <c r="AF44" s="2356"/>
      <c r="AG44" s="2356"/>
      <c r="AH44" s="2356"/>
      <c r="AI44" s="2356"/>
      <c r="AJ44" s="2357"/>
      <c r="AK44" s="1260" t="s">
        <v>492</v>
      </c>
      <c r="AM44" s="502"/>
      <c r="AN44" s="502" t="str">
        <f>IF(T44="","",T44)</f>
        <v>Наименование признака дифференциации</v>
      </c>
      <c r="AO44" s="502"/>
      <c r="AP44" s="502"/>
      <c r="AQ44" s="1157">
        <v>23</v>
      </c>
    </row>
    <row customHeight="1" ht="24">
      <c r="A45" s="1365" t="s">
        <v>240</v>
      </c>
      <c r="B45" s="1365" t="s">
        <v>241</v>
      </c>
      <c r="C45" s="1365" t="s">
        <v>242</v>
      </c>
      <c r="D45" s="1365" t="s">
        <v>504</v>
      </c>
      <c r="E45" s="2261"/>
      <c r="F45" s="2261"/>
      <c r="G45" s="2261"/>
      <c r="H45" s="2261"/>
      <c r="I45" s="2288"/>
      <c r="J45" s="2258" t="str">
        <f>I44&amp;".1"</f>
        <v>...1.1</v>
      </c>
      <c r="K45" s="1365"/>
      <c r="L45" s="1366" t="s">
        <v>415</v>
      </c>
      <c r="P45" s="2259"/>
      <c r="Q45" s="2259">
        <v>1</v>
      </c>
      <c r="R45" s="359"/>
      <c r="S45" s="1459" t="str">
        <f>$J45</f>
        <v>...1.1</v>
      </c>
      <c r="T45" s="288" t="s">
        <v>416</v>
      </c>
      <c r="U45" s="302"/>
      <c r="V45" s="2247"/>
      <c r="W45" s="2248"/>
      <c r="X45" s="2248"/>
      <c r="Y45" s="2248"/>
      <c r="Z45" s="2248"/>
      <c r="AA45" s="2248"/>
      <c r="AB45" s="2249"/>
      <c r="AC45" s="2247"/>
      <c r="AD45" s="2248"/>
      <c r="AE45" s="2248"/>
      <c r="AF45" s="2248"/>
      <c r="AG45" s="2248"/>
      <c r="AH45" s="2248"/>
      <c r="AI45" s="2248"/>
      <c r="AJ45" s="2249"/>
      <c r="AK45" s="1309" t="s">
        <v>493</v>
      </c>
      <c r="AM45" s="502"/>
      <c r="AN45" s="502" t="str">
        <f>IF(T45="","",T45)</f>
        <v>Группа потребителей</v>
      </c>
      <c r="AO45" s="502"/>
      <c r="AP45" s="502"/>
      <c r="AQ45" s="1157">
        <v>23</v>
      </c>
    </row>
    <row customHeight="1" ht="24">
      <c r="A46" s="1365" t="s">
        <v>240</v>
      </c>
      <c r="B46" s="1365" t="s">
        <v>241</v>
      </c>
      <c r="C46" s="1365" t="s">
        <v>242</v>
      </c>
      <c r="D46" s="1365" t="s">
        <v>504</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68</v>
      </c>
      <c r="AA46" s="2267"/>
      <c r="AB46" s="2109" t="s">
        <v>68</v>
      </c>
      <c r="AC46" s="753"/>
      <c r="AD46" s="753"/>
      <c r="AE46" s="1259"/>
      <c r="AF46" s="2267"/>
      <c r="AG46" s="2109" t="s">
        <v>68</v>
      </c>
      <c r="AH46" s="2289"/>
      <c r="AI46" s="2109" t="s">
        <v>68</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240</v>
      </c>
      <c r="B47" s="1365" t="s">
        <v>241</v>
      </c>
      <c r="C47" s="1365" t="s">
        <v>242</v>
      </c>
      <c r="D47" s="1365" t="s">
        <v>504</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240</v>
      </c>
      <c r="B48" s="1365" t="s">
        <v>241</v>
      </c>
      <c r="C48" s="1365" t="s">
        <v>242</v>
      </c>
      <c r="D48" s="1365" t="s">
        <v>504</v>
      </c>
      <c r="E48" s="2261"/>
      <c r="F48" s="2261"/>
      <c r="G48" s="2261"/>
      <c r="H48" s="2261"/>
      <c r="I48" s="2288"/>
      <c r="J48" s="2258"/>
      <c r="K48" s="1365"/>
      <c r="L48" s="1366"/>
      <c r="P48" s="2259"/>
      <c r="Q48" s="2259"/>
      <c r="R48" s="358"/>
      <c r="S48" s="1280"/>
      <c r="T48" s="289" t="s">
        <v>494</v>
      </c>
      <c r="U48" s="369"/>
      <c r="V48" s="369"/>
      <c r="W48" s="369"/>
      <c r="X48" s="369"/>
      <c r="Y48" s="369"/>
      <c r="Z48" s="369"/>
      <c r="AA48" s="369"/>
      <c r="AB48" s="369"/>
      <c r="AC48" s="369"/>
      <c r="AD48" s="369"/>
      <c r="AE48" s="369"/>
      <c r="AF48" s="369"/>
      <c r="AG48" s="369"/>
      <c r="AH48" s="369"/>
      <c r="AI48" s="369"/>
      <c r="AJ48" s="369"/>
      <c r="AK48" s="1260" t="s">
        <v>495</v>
      </c>
      <c r="AM48" s="502"/>
      <c r="AN48" s="502" t="str">
        <f>IF(T48="","",T48)</f>
        <v>Добавить значение признака дифференциации</v>
      </c>
      <c r="AO48" s="502"/>
      <c r="AP48" s="502"/>
      <c r="AQ48" s="1157">
        <v>20</v>
      </c>
    </row>
    <row customHeight="1" ht="21.75">
      <c r="A49" s="1365" t="s">
        <v>240</v>
      </c>
      <c r="B49" s="1365" t="s">
        <v>241</v>
      </c>
      <c r="C49" s="1365" t="s">
        <v>242</v>
      </c>
      <c r="D49" s="1365" t="s">
        <v>504</v>
      </c>
      <c r="E49" s="2261"/>
      <c r="F49" s="2261"/>
      <c r="G49" s="2261"/>
      <c r="H49" s="2261"/>
      <c r="I49" s="2258"/>
      <c r="J49" s="1365"/>
      <c r="K49" s="1365"/>
      <c r="L49" s="1366"/>
      <c r="P49" s="2259"/>
      <c r="Q49" s="1452"/>
      <c r="R49" s="358"/>
      <c r="S49" s="1280"/>
      <c r="T49" s="367" t="s">
        <v>421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240</v>
      </c>
      <c r="B50" s="1365" t="s">
        <v>241</v>
      </c>
      <c r="C50" s="1365" t="s">
        <v>242</v>
      </c>
      <c r="D50" s="1365" t="s">
        <v>504</v>
      </c>
      <c r="E50" s="2261"/>
      <c r="F50" s="2261"/>
      <c r="G50" s="2261"/>
      <c r="H50" s="2260"/>
      <c r="I50" s="1365"/>
      <c r="J50" s="1365"/>
      <c r="K50" s="1365"/>
      <c r="L50" s="1366"/>
      <c r="M50" s="1367"/>
      <c r="N50" s="1367"/>
      <c r="O50" s="539"/>
      <c r="P50" s="362"/>
      <c r="Q50" s="377"/>
      <c r="R50" s="357"/>
      <c r="S50" s="1280"/>
      <c r="T50" s="374" t="s">
        <v>496</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240</v>
      </c>
      <c r="B51" s="1345" t="s">
        <v>241</v>
      </c>
      <c r="C51" s="1316"/>
      <c r="D51" s="1316"/>
      <c r="E51" s="2261"/>
      <c r="F51" s="2260"/>
      <c r="G51" s="1316"/>
      <c r="H51" s="1316"/>
      <c r="I51" s="1316"/>
      <c r="J51" s="1316"/>
      <c r="K51" s="1316"/>
      <c r="L51" s="1460"/>
      <c r="M51" s="1323"/>
      <c r="N51" s="1323"/>
      <c r="P51" s="1318"/>
      <c r="Q51" s="1319"/>
      <c r="R51" s="1318"/>
      <c r="S51" s="1324"/>
      <c r="T51" s="1327" t="s">
        <v>173</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240</v>
      </c>
      <c r="B52" s="1345"/>
      <c r="C52" s="1345"/>
      <c r="D52" s="1345"/>
      <c r="E52" s="2260"/>
      <c r="F52" s="1345"/>
      <c r="G52" s="1345"/>
      <c r="H52" s="1345"/>
      <c r="I52" s="1345"/>
      <c r="J52" s="1345"/>
      <c r="K52" s="1345"/>
      <c r="L52" s="1348"/>
      <c r="M52" s="1323"/>
      <c r="N52" s="1323"/>
      <c r="O52" s="520"/>
      <c r="P52" s="382"/>
      <c r="Q52" s="1346"/>
      <c r="R52" s="382"/>
      <c r="S52" s="1324"/>
      <c r="T52" s="1327" t="s">
        <v>174</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175</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84</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B013D1-4F0B-835B-0DE8-0.E11414B}"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489</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490</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491</v>
      </c>
      <c r="U5" s="302"/>
      <c r="V5" s="2352"/>
      <c r="W5" s="2353"/>
      <c r="X5" s="2353"/>
      <c r="Y5" s="2353"/>
      <c r="Z5" s="2353"/>
      <c r="AA5" s="2353"/>
      <c r="AB5" s="2354"/>
      <c r="AC5" s="2355"/>
      <c r="AD5" s="2356"/>
      <c r="AE5" s="2356"/>
      <c r="AF5" s="2356"/>
      <c r="AG5" s="2356"/>
      <c r="AH5" s="2356"/>
      <c r="AI5" s="2356"/>
      <c r="AJ5" s="2357"/>
      <c r="AK5" s="1260" t="s">
        <v>492</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415</v>
      </c>
      <c r="P6" s="2259"/>
      <c r="Q6" s="2259">
        <v>1</v>
      </c>
      <c r="R6" s="359"/>
      <c r="S6" s="1459">
        <f>$J6</f>
      </c>
      <c r="T6" s="288" t="s">
        <v>416</v>
      </c>
      <c r="U6" s="302"/>
      <c r="V6" s="2247"/>
      <c r="W6" s="2248"/>
      <c r="X6" s="2248"/>
      <c r="Y6" s="2248"/>
      <c r="Z6" s="2248"/>
      <c r="AA6" s="2248"/>
      <c r="AB6" s="2249"/>
      <c r="AC6" s="2247"/>
      <c r="AD6" s="2248"/>
      <c r="AE6" s="2248"/>
      <c r="AF6" s="2248"/>
      <c r="AG6" s="2248"/>
      <c r="AH6" s="2248"/>
      <c r="AI6" s="2248"/>
      <c r="AJ6" s="2249"/>
      <c r="AK6" s="1309" t="s">
        <v>493</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68</v>
      </c>
      <c r="AA7" s="2267"/>
      <c r="AB7" s="2109" t="s">
        <v>68</v>
      </c>
      <c r="AC7" s="753"/>
      <c r="AD7" s="753"/>
      <c r="AE7" s="1259"/>
      <c r="AF7" s="2267"/>
      <c r="AG7" s="2109" t="s">
        <v>68</v>
      </c>
      <c r="AH7" s="2289"/>
      <c r="AI7" s="2109" t="s">
        <v>68</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494</v>
      </c>
      <c r="U9" s="369"/>
      <c r="V9" s="369"/>
      <c r="W9" s="369"/>
      <c r="X9" s="369"/>
      <c r="Y9" s="369"/>
      <c r="Z9" s="369"/>
      <c r="AA9" s="369"/>
      <c r="AB9" s="369"/>
      <c r="AC9" s="369"/>
      <c r="AD9" s="369"/>
      <c r="AE9" s="369"/>
      <c r="AF9" s="369"/>
      <c r="AG9" s="369"/>
      <c r="AH9" s="369"/>
      <c r="AI9" s="369"/>
      <c r="AJ9" s="369"/>
      <c r="AK9" s="1260" t="s">
        <v>495</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421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496</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173</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174</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68</v>
      </c>
      <c r="AH15" s="2269"/>
      <c r="AI15" s="2270" t="s">
        <v>68</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423</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424</v>
      </c>
      <c r="P20" s="1364"/>
      <c r="Q20" s="1444"/>
      <c r="R20" s="1444"/>
      <c r="S20" s="731"/>
      <c r="T20" s="1162" t="s">
        <v>425</v>
      </c>
      <c r="Z20" s="188" t="s">
        <v>426</v>
      </c>
      <c r="AB20" s="188" t="s">
        <v>427</v>
      </c>
      <c r="AC20" s="1162" t="s">
        <v>425</v>
      </c>
      <c r="AG20" s="188" t="s">
        <v>428</v>
      </c>
      <c r="AI20" s="188" t="s">
        <v>427</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43</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429</v>
      </c>
      <c r="T28" s="2252"/>
      <c r="U28" s="1374"/>
      <c r="V28" s="2266" t="str">
        <f>IF(TITLE_DATE_PR_CHANGE="",IF(TITLE_DATE_PR="","",TITLE_DATE_PR),TITLE_DATE_PR_CHANGE)</f>
        <v>46141.35650462963</v>
      </c>
      <c r="W28" s="2266"/>
      <c r="X28" s="2266"/>
      <c r="Y28" s="2266"/>
      <c r="Z28" s="2266"/>
      <c r="AA28" s="2266"/>
      <c r="AB28" s="328"/>
      <c r="AC28" s="2266" t="str">
        <f>IF(TITLE_DATE_PR_CHANGE="",IF(TITLE_DATE_PR="","",TITLE_DATE_PR),TITLE_DATE_PR_CHANGE)</f>
        <v>46141.35650462963</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430</v>
      </c>
      <c r="T29" s="2252"/>
      <c r="U29" s="1374"/>
      <c r="V29" s="2253" t="str">
        <f>IF(TITLE_NUMBER_PR_CHANGE="",IF(TITLE_NUMBER_PR="","",TITLE_NUMBER_PR),TITLE_NUMBER_PR_CHANGE)</f>
        <v>вх. О-1106 (исх. №382 от 29.04.2026)</v>
      </c>
      <c r="W29" s="2253"/>
      <c r="X29" s="2253"/>
      <c r="Y29" s="2253"/>
      <c r="Z29" s="2253"/>
      <c r="AA29" s="2253"/>
      <c r="AB29" s="328"/>
      <c r="AC29" s="2253" t="str">
        <f>IF(TITLE_NUMBER_PR_CHANGE="",IF(TITLE_NUMBER_PR="","",TITLE_NUMBER_PR),TITLE_NUMBER_PR_CHANGE)</f>
        <v>вх. О-1106 (исх. №382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44</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431</v>
      </c>
      <c r="T32" s="2252"/>
      <c r="U32" s="1374"/>
      <c r="V32" s="2266" t="str">
        <f>IF(TITLE_DATE_PR_CHANGE="",IF(TITLE_DATE_PR="","",TITLE_DATE_PR),TITLE_DATE_PR_CHANGE)</f>
        <v>46141.35650462963</v>
      </c>
      <c r="W32" s="2266"/>
      <c r="X32" s="2266"/>
      <c r="Y32" s="2266"/>
      <c r="Z32" s="2266"/>
      <c r="AA32" s="2266"/>
      <c r="AB32" s="328"/>
      <c r="AC32" s="2266" t="str">
        <f>IF(TITLE_DATE_PR_CHANGE="",IF(TITLE_DATE_PR="","",TITLE_DATE_PR),TITLE_DATE_PR_CHANGE)</f>
        <v>46141.35650462963</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432</v>
      </c>
      <c r="T33" s="2252"/>
      <c r="U33" s="1374"/>
      <c r="V33" s="2253" t="str">
        <f>IF(TITLE_NUMBER_PR_CHANGE="",IF(TITLE_NUMBER_PR="","",TITLE_NUMBER_PR),TITLE_NUMBER_PR_CHANGE)</f>
        <v>вх. О-1106 (исх. №382 от 29.04.2026)</v>
      </c>
      <c r="W33" s="2253"/>
      <c r="X33" s="2253"/>
      <c r="Y33" s="2253"/>
      <c r="Z33" s="2253"/>
      <c r="AA33" s="2253"/>
      <c r="AB33" s="328"/>
      <c r="AC33" s="2253" t="str">
        <f>IF(TITLE_NUMBER_PR_CHANGE="",IF(TITLE_NUMBER_PR="","",TITLE_NUMBER_PR),TITLE_NUMBER_PR_CHANGE)</f>
        <v>вх. О-1106 (исх. №382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433</v>
      </c>
      <c r="AC34" s="328"/>
      <c r="AD34" s="328"/>
      <c r="AE34" s="328"/>
      <c r="AF34" s="328"/>
      <c r="AG34" s="328"/>
      <c r="AH34" s="328"/>
      <c r="AI34" s="280" t="s">
        <v>433</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309</v>
      </c>
      <c r="T36" s="2129"/>
      <c r="U36" s="2129"/>
      <c r="V36" s="2129"/>
      <c r="W36" s="2129"/>
      <c r="X36" s="2129"/>
      <c r="Y36" s="2129"/>
      <c r="Z36" s="2129"/>
      <c r="AA36" s="2129"/>
      <c r="AB36" s="2129"/>
      <c r="AC36" s="2129"/>
      <c r="AD36" s="2129"/>
      <c r="AE36" s="2129"/>
      <c r="AF36" s="2129"/>
      <c r="AG36" s="2129"/>
      <c r="AH36" s="2129"/>
      <c r="AI36" s="2129"/>
      <c r="AJ36" s="2129"/>
      <c r="AK36" s="2129" t="s">
        <v>310</v>
      </c>
      <c r="AQ36" s="1157">
        <v>14</v>
      </c>
    </row>
    <row customHeight="1" ht="15">
      <c r="Q37" s="378"/>
      <c r="R37" s="378"/>
      <c r="S37" s="2275" t="s">
        <v>90</v>
      </c>
      <c r="T37" s="2211" t="s">
        <v>434</v>
      </c>
      <c r="U37" s="303"/>
      <c r="V37" s="2276" t="s">
        <v>435</v>
      </c>
      <c r="W37" s="2277"/>
      <c r="X37" s="2277"/>
      <c r="Y37" s="2277"/>
      <c r="Z37" s="2277"/>
      <c r="AA37" s="2278"/>
      <c r="AB37" s="2279" t="s">
        <v>436</v>
      </c>
      <c r="AC37" s="2276" t="s">
        <v>435</v>
      </c>
      <c r="AD37" s="2277"/>
      <c r="AE37" s="2277"/>
      <c r="AF37" s="2277"/>
      <c r="AG37" s="2277"/>
      <c r="AH37" s="2278"/>
      <c r="AI37" s="2279" t="s">
        <v>437</v>
      </c>
      <c r="AJ37" s="2282" t="s">
        <v>438</v>
      </c>
      <c r="AK37" s="2129"/>
      <c r="AQ37" s="1157">
        <v>14</v>
      </c>
    </row>
    <row customHeight="1" ht="36">
      <c r="Q38" s="378"/>
      <c r="R38" s="378"/>
      <c r="S38" s="2275"/>
      <c r="T38" s="2211"/>
      <c r="U38" s="1033"/>
      <c r="V38" s="1454" t="s">
        <v>497</v>
      </c>
      <c r="W38" s="2264" t="s">
        <v>441</v>
      </c>
      <c r="X38" s="2265"/>
      <c r="Y38" s="2264" t="s">
        <v>442</v>
      </c>
      <c r="Z38" s="2271"/>
      <c r="AA38" s="2265"/>
      <c r="AB38" s="2280"/>
      <c r="AC38" s="1454" t="s">
        <v>497</v>
      </c>
      <c r="AD38" s="2264" t="s">
        <v>441</v>
      </c>
      <c r="AE38" s="2265"/>
      <c r="AF38" s="2264" t="s">
        <v>442</v>
      </c>
      <c r="AG38" s="2271"/>
      <c r="AH38" s="2265"/>
      <c r="AI38" s="2280"/>
      <c r="AJ38" s="2283"/>
      <c r="AK38" s="2129"/>
      <c r="AQ38" s="1157">
        <v>34</v>
      </c>
    </row>
    <row customHeight="1" ht="36">
      <c r="A39" s="1372"/>
      <c r="B39" s="1372" t="s">
        <v>137</v>
      </c>
      <c r="C39" s="1372" t="s">
        <v>138</v>
      </c>
      <c r="D39" s="1372" t="s">
        <v>139</v>
      </c>
      <c r="E39" s="1366" t="s">
        <v>443</v>
      </c>
      <c r="F39" s="1366" t="s">
        <v>444</v>
      </c>
      <c r="G39" s="1366" t="s">
        <v>445</v>
      </c>
      <c r="H39" s="1366"/>
      <c r="I39" s="1366" t="s">
        <v>498</v>
      </c>
      <c r="J39" s="1366" t="s">
        <v>448</v>
      </c>
      <c r="K39" s="1366" t="s">
        <v>499</v>
      </c>
      <c r="L39" s="1366" t="s">
        <v>424</v>
      </c>
      <c r="Q39" s="378"/>
      <c r="R39" s="378"/>
      <c r="S39" s="2275"/>
      <c r="T39" s="2211"/>
      <c r="U39" s="304"/>
      <c r="V39" s="1454" t="s">
        <v>500</v>
      </c>
      <c r="W39" s="1224" t="s">
        <v>501</v>
      </c>
      <c r="X39" s="1224" t="s">
        <v>502</v>
      </c>
      <c r="Y39" s="1457" t="s">
        <v>452</v>
      </c>
      <c r="Z39" s="2272" t="s">
        <v>453</v>
      </c>
      <c r="AA39" s="2273"/>
      <c r="AB39" s="2281"/>
      <c r="AC39" s="1454" t="s">
        <v>500</v>
      </c>
      <c r="AD39" s="1224" t="s">
        <v>501</v>
      </c>
      <c r="AE39" s="1224" t="s">
        <v>502</v>
      </c>
      <c r="AF39" s="1457" t="s">
        <v>452</v>
      </c>
      <c r="AG39" s="2272" t="s">
        <v>453</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111</v>
      </c>
      <c r="T40" s="1257" t="s">
        <v>112</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245</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245</v>
      </c>
      <c r="B42" s="1365" t="s">
        <v>246</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407</v>
      </c>
      <c r="AM42" s="502"/>
      <c r="AN42" s="502" t="str">
        <f>IF(T42="","",T42)</f>
        <v>Территория действия тарифа</v>
      </c>
      <c r="AO42" s="502"/>
      <c r="AP42" s="502"/>
      <c r="AQ42" s="1157">
        <v>23</v>
      </c>
    </row>
    <row customHeight="1" ht="24">
      <c r="A43" s="1365" t="s">
        <v>245</v>
      </c>
      <c r="B43" s="1365" t="s">
        <v>246</v>
      </c>
      <c r="C43" s="1365" t="s">
        <v>247</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489</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490</v>
      </c>
      <c r="AM43" s="502"/>
      <c r="AN43" s="502" t="str">
        <f>IF(T43="","",T43)</f>
        <v>Наименование централизованной системы холодного водоснабжения</v>
      </c>
      <c r="AO43" s="502"/>
      <c r="AP43" s="502"/>
      <c r="AQ43" s="1157">
        <v>23</v>
      </c>
    </row>
    <row customHeight="1" ht="24">
      <c r="A44" s="1365" t="s">
        <v>245</v>
      </c>
      <c r="B44" s="1365" t="s">
        <v>246</v>
      </c>
      <c r="C44" s="1365" t="s">
        <v>247</v>
      </c>
      <c r="D44" s="1365" t="s">
        <v>505</v>
      </c>
      <c r="E44" s="2261"/>
      <c r="F44" s="2261"/>
      <c r="G44" s="2261"/>
      <c r="H44" s="2261"/>
      <c r="I44" s="2258" t="str">
        <f>S43&amp;".1"</f>
        <v>...1</v>
      </c>
      <c r="J44" s="1365"/>
      <c r="K44" s="1365"/>
      <c r="L44" s="1366"/>
      <c r="P44" s="2259">
        <v>1</v>
      </c>
      <c r="Q44" s="1452"/>
      <c r="R44" s="358"/>
      <c r="S44" s="1459" t="str">
        <f>$I44</f>
        <v>...1</v>
      </c>
      <c r="T44" s="287" t="s">
        <v>491</v>
      </c>
      <c r="U44" s="302"/>
      <c r="V44" s="2352"/>
      <c r="W44" s="2353"/>
      <c r="X44" s="2353"/>
      <c r="Y44" s="2353"/>
      <c r="Z44" s="2353"/>
      <c r="AA44" s="2353"/>
      <c r="AB44" s="2354"/>
      <c r="AC44" s="2355"/>
      <c r="AD44" s="2356"/>
      <c r="AE44" s="2356"/>
      <c r="AF44" s="2356"/>
      <c r="AG44" s="2356"/>
      <c r="AH44" s="2356"/>
      <c r="AI44" s="2356"/>
      <c r="AJ44" s="2357"/>
      <c r="AK44" s="1260" t="s">
        <v>492</v>
      </c>
      <c r="AM44" s="502"/>
      <c r="AN44" s="502" t="str">
        <f>IF(T44="","",T44)</f>
        <v>Наименование признака дифференциации</v>
      </c>
      <c r="AO44" s="502"/>
      <c r="AP44" s="502"/>
      <c r="AQ44" s="1157">
        <v>23</v>
      </c>
    </row>
    <row customHeight="1" ht="24">
      <c r="A45" s="1365" t="s">
        <v>245</v>
      </c>
      <c r="B45" s="1365" t="s">
        <v>246</v>
      </c>
      <c r="C45" s="1365" t="s">
        <v>247</v>
      </c>
      <c r="D45" s="1365" t="s">
        <v>505</v>
      </c>
      <c r="E45" s="2261"/>
      <c r="F45" s="2261"/>
      <c r="G45" s="2261"/>
      <c r="H45" s="2261"/>
      <c r="I45" s="2288"/>
      <c r="J45" s="2258" t="str">
        <f>I44&amp;".1"</f>
        <v>...1.1</v>
      </c>
      <c r="K45" s="1365"/>
      <c r="L45" s="1366" t="s">
        <v>415</v>
      </c>
      <c r="P45" s="2259"/>
      <c r="Q45" s="2259">
        <v>1</v>
      </c>
      <c r="R45" s="359"/>
      <c r="S45" s="1459" t="str">
        <f>$J45</f>
        <v>...1.1</v>
      </c>
      <c r="T45" s="288" t="s">
        <v>416</v>
      </c>
      <c r="U45" s="302"/>
      <c r="V45" s="2247"/>
      <c r="W45" s="2248"/>
      <c r="X45" s="2248"/>
      <c r="Y45" s="2248"/>
      <c r="Z45" s="2248"/>
      <c r="AA45" s="2248"/>
      <c r="AB45" s="2249"/>
      <c r="AC45" s="2247"/>
      <c r="AD45" s="2248"/>
      <c r="AE45" s="2248"/>
      <c r="AF45" s="2248"/>
      <c r="AG45" s="2248"/>
      <c r="AH45" s="2248"/>
      <c r="AI45" s="2248"/>
      <c r="AJ45" s="2249"/>
      <c r="AK45" s="1309" t="s">
        <v>493</v>
      </c>
      <c r="AM45" s="502"/>
      <c r="AN45" s="502" t="str">
        <f>IF(T45="","",T45)</f>
        <v>Группа потребителей</v>
      </c>
      <c r="AO45" s="502"/>
      <c r="AP45" s="502"/>
      <c r="AQ45" s="1157">
        <v>23</v>
      </c>
    </row>
    <row customHeight="1" ht="24">
      <c r="A46" s="1365" t="s">
        <v>245</v>
      </c>
      <c r="B46" s="1365" t="s">
        <v>246</v>
      </c>
      <c r="C46" s="1365" t="s">
        <v>247</v>
      </c>
      <c r="D46" s="1365" t="s">
        <v>505</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68</v>
      </c>
      <c r="AA46" s="2267"/>
      <c r="AB46" s="2109" t="s">
        <v>68</v>
      </c>
      <c r="AC46" s="753"/>
      <c r="AD46" s="753"/>
      <c r="AE46" s="1259"/>
      <c r="AF46" s="2267"/>
      <c r="AG46" s="2109" t="s">
        <v>68</v>
      </c>
      <c r="AH46" s="2289"/>
      <c r="AI46" s="2109" t="s">
        <v>68</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245</v>
      </c>
      <c r="B47" s="1365" t="s">
        <v>246</v>
      </c>
      <c r="C47" s="1365" t="s">
        <v>247</v>
      </c>
      <c r="D47" s="1365" t="s">
        <v>505</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245</v>
      </c>
      <c r="B48" s="1365" t="s">
        <v>246</v>
      </c>
      <c r="C48" s="1365" t="s">
        <v>247</v>
      </c>
      <c r="D48" s="1365" t="s">
        <v>505</v>
      </c>
      <c r="E48" s="2261"/>
      <c r="F48" s="2261"/>
      <c r="G48" s="2261"/>
      <c r="H48" s="2261"/>
      <c r="I48" s="2288"/>
      <c r="J48" s="2258"/>
      <c r="K48" s="1365"/>
      <c r="L48" s="1366"/>
      <c r="P48" s="2259"/>
      <c r="Q48" s="2259"/>
      <c r="R48" s="358"/>
      <c r="S48" s="1280"/>
      <c r="T48" s="289" t="s">
        <v>494</v>
      </c>
      <c r="U48" s="369"/>
      <c r="V48" s="369"/>
      <c r="W48" s="369"/>
      <c r="X48" s="369"/>
      <c r="Y48" s="369"/>
      <c r="Z48" s="369"/>
      <c r="AA48" s="369"/>
      <c r="AB48" s="369"/>
      <c r="AC48" s="369"/>
      <c r="AD48" s="369"/>
      <c r="AE48" s="369"/>
      <c r="AF48" s="369"/>
      <c r="AG48" s="369"/>
      <c r="AH48" s="369"/>
      <c r="AI48" s="369"/>
      <c r="AJ48" s="369"/>
      <c r="AK48" s="1260" t="s">
        <v>495</v>
      </c>
      <c r="AM48" s="502"/>
      <c r="AN48" s="502" t="str">
        <f>IF(T48="","",T48)</f>
        <v>Добавить значение признака дифференциации</v>
      </c>
      <c r="AO48" s="502"/>
      <c r="AP48" s="502"/>
      <c r="AQ48" s="1157">
        <v>20</v>
      </c>
    </row>
    <row customHeight="1" ht="21.75">
      <c r="A49" s="1365" t="s">
        <v>245</v>
      </c>
      <c r="B49" s="1365" t="s">
        <v>246</v>
      </c>
      <c r="C49" s="1365" t="s">
        <v>247</v>
      </c>
      <c r="D49" s="1365" t="s">
        <v>505</v>
      </c>
      <c r="E49" s="2261"/>
      <c r="F49" s="2261"/>
      <c r="G49" s="2261"/>
      <c r="H49" s="2261"/>
      <c r="I49" s="2258"/>
      <c r="J49" s="1365"/>
      <c r="K49" s="1365"/>
      <c r="L49" s="1366"/>
      <c r="P49" s="2259"/>
      <c r="Q49" s="1452"/>
      <c r="R49" s="358"/>
      <c r="S49" s="1280"/>
      <c r="T49" s="367" t="s">
        <v>421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245</v>
      </c>
      <c r="B50" s="1365" t="s">
        <v>246</v>
      </c>
      <c r="C50" s="1365" t="s">
        <v>247</v>
      </c>
      <c r="D50" s="1365" t="s">
        <v>505</v>
      </c>
      <c r="E50" s="2261"/>
      <c r="F50" s="2261"/>
      <c r="G50" s="2261"/>
      <c r="H50" s="2260"/>
      <c r="I50" s="1365"/>
      <c r="J50" s="1365"/>
      <c r="K50" s="1365"/>
      <c r="L50" s="1366"/>
      <c r="M50" s="1367"/>
      <c r="N50" s="1367"/>
      <c r="O50" s="539"/>
      <c r="P50" s="362"/>
      <c r="Q50" s="377"/>
      <c r="R50" s="357"/>
      <c r="S50" s="1280"/>
      <c r="T50" s="374" t="s">
        <v>496</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245</v>
      </c>
      <c r="B51" s="1345" t="s">
        <v>246</v>
      </c>
      <c r="C51" s="1316"/>
      <c r="D51" s="1316"/>
      <c r="E51" s="2261"/>
      <c r="F51" s="2260"/>
      <c r="G51" s="1316"/>
      <c r="H51" s="1316"/>
      <c r="I51" s="1316"/>
      <c r="J51" s="1316"/>
      <c r="K51" s="1316"/>
      <c r="L51" s="1460"/>
      <c r="M51" s="1323"/>
      <c r="N51" s="1323"/>
      <c r="P51" s="1318"/>
      <c r="Q51" s="1319"/>
      <c r="R51" s="1318"/>
      <c r="S51" s="1324"/>
      <c r="T51" s="1327" t="s">
        <v>173</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245</v>
      </c>
      <c r="B52" s="1345"/>
      <c r="C52" s="1345"/>
      <c r="D52" s="1345"/>
      <c r="E52" s="2260"/>
      <c r="F52" s="1345"/>
      <c r="G52" s="1345"/>
      <c r="H52" s="1345"/>
      <c r="I52" s="1345"/>
      <c r="J52" s="1345"/>
      <c r="K52" s="1345"/>
      <c r="L52" s="1348"/>
      <c r="M52" s="1323"/>
      <c r="N52" s="1323"/>
      <c r="O52" s="520"/>
      <c r="P52" s="382"/>
      <c r="Q52" s="1346"/>
      <c r="R52" s="382"/>
      <c r="S52" s="1324"/>
      <c r="T52" s="1327" t="s">
        <v>174</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175</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84</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913E8A-3BB3-0FF2-1403-0.8EAAFF6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489</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490</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491</v>
      </c>
      <c r="U5" s="302"/>
      <c r="V5" s="2352"/>
      <c r="W5" s="2353"/>
      <c r="X5" s="2353"/>
      <c r="Y5" s="2353"/>
      <c r="Z5" s="2353"/>
      <c r="AA5" s="2353"/>
      <c r="AB5" s="2354"/>
      <c r="AC5" s="2355"/>
      <c r="AD5" s="2356"/>
      <c r="AE5" s="2356"/>
      <c r="AF5" s="2356"/>
      <c r="AG5" s="2356"/>
      <c r="AH5" s="2356"/>
      <c r="AI5" s="2356"/>
      <c r="AJ5" s="2357"/>
      <c r="AK5" s="1260" t="s">
        <v>492</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415</v>
      </c>
      <c r="P6" s="2259"/>
      <c r="Q6" s="2259">
        <v>1</v>
      </c>
      <c r="R6" s="359"/>
      <c r="S6" s="1459">
        <f>$J6</f>
      </c>
      <c r="T6" s="288" t="s">
        <v>416</v>
      </c>
      <c r="U6" s="302"/>
      <c r="V6" s="2247"/>
      <c r="W6" s="2248"/>
      <c r="X6" s="2248"/>
      <c r="Y6" s="2248"/>
      <c r="Z6" s="2248"/>
      <c r="AA6" s="2248"/>
      <c r="AB6" s="2249"/>
      <c r="AC6" s="2247"/>
      <c r="AD6" s="2248"/>
      <c r="AE6" s="2248"/>
      <c r="AF6" s="2248"/>
      <c r="AG6" s="2248"/>
      <c r="AH6" s="2248"/>
      <c r="AI6" s="2248"/>
      <c r="AJ6" s="2249"/>
      <c r="AK6" s="1309" t="s">
        <v>493</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68</v>
      </c>
      <c r="AA7" s="2267"/>
      <c r="AB7" s="2109" t="s">
        <v>68</v>
      </c>
      <c r="AC7" s="753"/>
      <c r="AD7" s="753"/>
      <c r="AE7" s="1259"/>
      <c r="AF7" s="2267"/>
      <c r="AG7" s="2109" t="s">
        <v>68</v>
      </c>
      <c r="AH7" s="2289"/>
      <c r="AI7" s="2109" t="s">
        <v>68</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494</v>
      </c>
      <c r="U9" s="369"/>
      <c r="V9" s="369"/>
      <c r="W9" s="369"/>
      <c r="X9" s="369"/>
      <c r="Y9" s="369"/>
      <c r="Z9" s="369"/>
      <c r="AA9" s="369"/>
      <c r="AB9" s="369"/>
      <c r="AC9" s="369"/>
      <c r="AD9" s="369"/>
      <c r="AE9" s="369"/>
      <c r="AF9" s="369"/>
      <c r="AG9" s="369"/>
      <c r="AH9" s="369"/>
      <c r="AI9" s="369"/>
      <c r="AJ9" s="369"/>
      <c r="AK9" s="1260" t="s">
        <v>495</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421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496</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173</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174</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68</v>
      </c>
      <c r="AH15" s="2269"/>
      <c r="AI15" s="2270" t="s">
        <v>68</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423</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424</v>
      </c>
      <c r="P20" s="1364"/>
      <c r="Q20" s="1444"/>
      <c r="R20" s="1444"/>
      <c r="S20" s="731"/>
      <c r="T20" s="1162" t="s">
        <v>425</v>
      </c>
      <c r="Z20" s="188" t="s">
        <v>426</v>
      </c>
      <c r="AB20" s="188" t="s">
        <v>427</v>
      </c>
      <c r="AC20" s="1162" t="s">
        <v>425</v>
      </c>
      <c r="AG20" s="188" t="s">
        <v>428</v>
      </c>
      <c r="AI20" s="188" t="s">
        <v>427</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43</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429</v>
      </c>
      <c r="T28" s="2252"/>
      <c r="U28" s="1374"/>
      <c r="V28" s="2266" t="str">
        <f>IF(TITLE_DATE_PR_CHANGE="",IF(TITLE_DATE_PR="","",TITLE_DATE_PR),TITLE_DATE_PR_CHANGE)</f>
        <v>46141.35650462963</v>
      </c>
      <c r="W28" s="2266"/>
      <c r="X28" s="2266"/>
      <c r="Y28" s="2266"/>
      <c r="Z28" s="2266"/>
      <c r="AA28" s="2266"/>
      <c r="AB28" s="328"/>
      <c r="AC28" s="2266" t="str">
        <f>IF(TITLE_DATE_PR_CHANGE="",IF(TITLE_DATE_PR="","",TITLE_DATE_PR),TITLE_DATE_PR_CHANGE)</f>
        <v>46141.35650462963</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430</v>
      </c>
      <c r="T29" s="2252"/>
      <c r="U29" s="1374"/>
      <c r="V29" s="2253" t="str">
        <f>IF(TITLE_NUMBER_PR_CHANGE="",IF(TITLE_NUMBER_PR="","",TITLE_NUMBER_PR),TITLE_NUMBER_PR_CHANGE)</f>
        <v>вх. О-1106 (исх. №382 от 29.04.2026)</v>
      </c>
      <c r="W29" s="2253"/>
      <c r="X29" s="2253"/>
      <c r="Y29" s="2253"/>
      <c r="Z29" s="2253"/>
      <c r="AA29" s="2253"/>
      <c r="AB29" s="328"/>
      <c r="AC29" s="2253" t="str">
        <f>IF(TITLE_NUMBER_PR_CHANGE="",IF(TITLE_NUMBER_PR="","",TITLE_NUMBER_PR),TITLE_NUMBER_PR_CHANGE)</f>
        <v>вх. О-1106 (исх. №382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44</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431</v>
      </c>
      <c r="T32" s="2252"/>
      <c r="U32" s="1374"/>
      <c r="V32" s="2266" t="str">
        <f>IF(TITLE_DATE_PR_CHANGE="",IF(TITLE_DATE_PR="","",TITLE_DATE_PR),TITLE_DATE_PR_CHANGE)</f>
        <v>46141.35650462963</v>
      </c>
      <c r="W32" s="2266"/>
      <c r="X32" s="2266"/>
      <c r="Y32" s="2266"/>
      <c r="Z32" s="2266"/>
      <c r="AA32" s="2266"/>
      <c r="AB32" s="328"/>
      <c r="AC32" s="2266" t="str">
        <f>IF(TITLE_DATE_PR_CHANGE="",IF(TITLE_DATE_PR="","",TITLE_DATE_PR),TITLE_DATE_PR_CHANGE)</f>
        <v>46141.35650462963</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432</v>
      </c>
      <c r="T33" s="2252"/>
      <c r="U33" s="1374"/>
      <c r="V33" s="2253" t="str">
        <f>IF(TITLE_NUMBER_PR_CHANGE="",IF(TITLE_NUMBER_PR="","",TITLE_NUMBER_PR),TITLE_NUMBER_PR_CHANGE)</f>
        <v>вх. О-1106 (исх. №382 от 29.04.2026)</v>
      </c>
      <c r="W33" s="2253"/>
      <c r="X33" s="2253"/>
      <c r="Y33" s="2253"/>
      <c r="Z33" s="2253"/>
      <c r="AA33" s="2253"/>
      <c r="AB33" s="328"/>
      <c r="AC33" s="2253" t="str">
        <f>IF(TITLE_NUMBER_PR_CHANGE="",IF(TITLE_NUMBER_PR="","",TITLE_NUMBER_PR),TITLE_NUMBER_PR_CHANGE)</f>
        <v>вх. О-1106 (исх. №382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433</v>
      </c>
      <c r="AC34" s="328"/>
      <c r="AD34" s="328"/>
      <c r="AE34" s="328"/>
      <c r="AF34" s="328"/>
      <c r="AG34" s="328"/>
      <c r="AH34" s="328"/>
      <c r="AI34" s="280" t="s">
        <v>433</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309</v>
      </c>
      <c r="T36" s="2129"/>
      <c r="U36" s="2129"/>
      <c r="V36" s="2129"/>
      <c r="W36" s="2129"/>
      <c r="X36" s="2129"/>
      <c r="Y36" s="2129"/>
      <c r="Z36" s="2129"/>
      <c r="AA36" s="2129"/>
      <c r="AB36" s="2129"/>
      <c r="AC36" s="2129"/>
      <c r="AD36" s="2129"/>
      <c r="AE36" s="2129"/>
      <c r="AF36" s="2129"/>
      <c r="AG36" s="2129"/>
      <c r="AH36" s="2129"/>
      <c r="AI36" s="2129"/>
      <c r="AJ36" s="2129"/>
      <c r="AK36" s="2129" t="s">
        <v>310</v>
      </c>
      <c r="AQ36" s="1157">
        <v>14</v>
      </c>
    </row>
    <row customHeight="1" ht="15">
      <c r="Q37" s="378"/>
      <c r="R37" s="378"/>
      <c r="S37" s="2275" t="s">
        <v>90</v>
      </c>
      <c r="T37" s="2211" t="s">
        <v>434</v>
      </c>
      <c r="U37" s="303"/>
      <c r="V37" s="2276" t="s">
        <v>435</v>
      </c>
      <c r="W37" s="2277"/>
      <c r="X37" s="2277"/>
      <c r="Y37" s="2277"/>
      <c r="Z37" s="2277"/>
      <c r="AA37" s="2278"/>
      <c r="AB37" s="2279" t="s">
        <v>436</v>
      </c>
      <c r="AC37" s="2276" t="s">
        <v>435</v>
      </c>
      <c r="AD37" s="2277"/>
      <c r="AE37" s="2277"/>
      <c r="AF37" s="2277"/>
      <c r="AG37" s="2277"/>
      <c r="AH37" s="2278"/>
      <c r="AI37" s="2279" t="s">
        <v>437</v>
      </c>
      <c r="AJ37" s="2282" t="s">
        <v>438</v>
      </c>
      <c r="AK37" s="2129"/>
      <c r="AQ37" s="1157">
        <v>14</v>
      </c>
    </row>
    <row customHeight="1" ht="36">
      <c r="Q38" s="378"/>
      <c r="R38" s="378"/>
      <c r="S38" s="2275"/>
      <c r="T38" s="2211"/>
      <c r="U38" s="1033"/>
      <c r="V38" s="1454" t="s">
        <v>497</v>
      </c>
      <c r="W38" s="2264" t="s">
        <v>441</v>
      </c>
      <c r="X38" s="2265"/>
      <c r="Y38" s="2264" t="s">
        <v>442</v>
      </c>
      <c r="Z38" s="2271"/>
      <c r="AA38" s="2265"/>
      <c r="AB38" s="2280"/>
      <c r="AC38" s="1454" t="s">
        <v>497</v>
      </c>
      <c r="AD38" s="2264" t="s">
        <v>441</v>
      </c>
      <c r="AE38" s="2265"/>
      <c r="AF38" s="2264" t="s">
        <v>442</v>
      </c>
      <c r="AG38" s="2271"/>
      <c r="AH38" s="2265"/>
      <c r="AI38" s="2280"/>
      <c r="AJ38" s="2283"/>
      <c r="AK38" s="2129"/>
      <c r="AQ38" s="1157">
        <v>34</v>
      </c>
    </row>
    <row customHeight="1" ht="36">
      <c r="A39" s="1372"/>
      <c r="B39" s="1372" t="s">
        <v>137</v>
      </c>
      <c r="C39" s="1372" t="s">
        <v>138</v>
      </c>
      <c r="D39" s="1372" t="s">
        <v>139</v>
      </c>
      <c r="E39" s="1366" t="s">
        <v>443</v>
      </c>
      <c r="F39" s="1366" t="s">
        <v>444</v>
      </c>
      <c r="G39" s="1366" t="s">
        <v>445</v>
      </c>
      <c r="H39" s="1366"/>
      <c r="I39" s="1366" t="s">
        <v>498</v>
      </c>
      <c r="J39" s="1366" t="s">
        <v>448</v>
      </c>
      <c r="K39" s="1366" t="s">
        <v>499</v>
      </c>
      <c r="L39" s="1366" t="s">
        <v>424</v>
      </c>
      <c r="Q39" s="378"/>
      <c r="R39" s="378"/>
      <c r="S39" s="2275"/>
      <c r="T39" s="2211"/>
      <c r="U39" s="304"/>
      <c r="V39" s="1454" t="s">
        <v>500</v>
      </c>
      <c r="W39" s="1224" t="s">
        <v>501</v>
      </c>
      <c r="X39" s="1224" t="s">
        <v>502</v>
      </c>
      <c r="Y39" s="1457" t="s">
        <v>452</v>
      </c>
      <c r="Z39" s="2272" t="s">
        <v>453</v>
      </c>
      <c r="AA39" s="2273"/>
      <c r="AB39" s="2281"/>
      <c r="AC39" s="1454" t="s">
        <v>500</v>
      </c>
      <c r="AD39" s="1224" t="s">
        <v>501</v>
      </c>
      <c r="AE39" s="1224" t="s">
        <v>502</v>
      </c>
      <c r="AF39" s="1457" t="s">
        <v>452</v>
      </c>
      <c r="AG39" s="2272" t="s">
        <v>453</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111</v>
      </c>
      <c r="T40" s="1257" t="s">
        <v>112</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250</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250</v>
      </c>
      <c r="B42" s="1365" t="s">
        <v>251</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407</v>
      </c>
      <c r="AM42" s="502"/>
      <c r="AN42" s="502" t="str">
        <f>IF(T42="","",T42)</f>
        <v>Территория действия тарифа</v>
      </c>
      <c r="AO42" s="502"/>
      <c r="AP42" s="502"/>
      <c r="AQ42" s="1157">
        <v>23</v>
      </c>
    </row>
    <row customHeight="1" ht="24">
      <c r="A43" s="1365" t="s">
        <v>250</v>
      </c>
      <c r="B43" s="1365" t="s">
        <v>251</v>
      </c>
      <c r="C43" s="1365" t="s">
        <v>252</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489</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490</v>
      </c>
      <c r="AM43" s="502"/>
      <c r="AN43" s="502" t="str">
        <f>IF(T43="","",T43)</f>
        <v>Наименование централизованной системы холодного водоснабжения</v>
      </c>
      <c r="AO43" s="502"/>
      <c r="AP43" s="502"/>
      <c r="AQ43" s="1157">
        <v>23</v>
      </c>
    </row>
    <row customHeight="1" ht="24">
      <c r="A44" s="1365" t="s">
        <v>250</v>
      </c>
      <c r="B44" s="1365" t="s">
        <v>251</v>
      </c>
      <c r="C44" s="1365" t="s">
        <v>252</v>
      </c>
      <c r="D44" s="1365" t="s">
        <v>506</v>
      </c>
      <c r="E44" s="2261"/>
      <c r="F44" s="2261"/>
      <c r="G44" s="2261"/>
      <c r="H44" s="2261"/>
      <c r="I44" s="2258" t="str">
        <f>S43&amp;".1"</f>
        <v>...1</v>
      </c>
      <c r="J44" s="1365"/>
      <c r="K44" s="1365"/>
      <c r="L44" s="1366"/>
      <c r="P44" s="2259">
        <v>1</v>
      </c>
      <c r="Q44" s="1452"/>
      <c r="R44" s="358"/>
      <c r="S44" s="1459" t="str">
        <f>$I44</f>
        <v>...1</v>
      </c>
      <c r="T44" s="287" t="s">
        <v>491</v>
      </c>
      <c r="U44" s="302"/>
      <c r="V44" s="2352"/>
      <c r="W44" s="2353"/>
      <c r="X44" s="2353"/>
      <c r="Y44" s="2353"/>
      <c r="Z44" s="2353"/>
      <c r="AA44" s="2353"/>
      <c r="AB44" s="2354"/>
      <c r="AC44" s="2355"/>
      <c r="AD44" s="2356"/>
      <c r="AE44" s="2356"/>
      <c r="AF44" s="2356"/>
      <c r="AG44" s="2356"/>
      <c r="AH44" s="2356"/>
      <c r="AI44" s="2356"/>
      <c r="AJ44" s="2357"/>
      <c r="AK44" s="1260" t="s">
        <v>492</v>
      </c>
      <c r="AM44" s="502"/>
      <c r="AN44" s="502" t="str">
        <f>IF(T44="","",T44)</f>
        <v>Наименование признака дифференциации</v>
      </c>
      <c r="AO44" s="502"/>
      <c r="AP44" s="502"/>
      <c r="AQ44" s="1157">
        <v>23</v>
      </c>
    </row>
    <row customHeight="1" ht="24">
      <c r="A45" s="1365" t="s">
        <v>250</v>
      </c>
      <c r="B45" s="1365" t="s">
        <v>251</v>
      </c>
      <c r="C45" s="1365" t="s">
        <v>252</v>
      </c>
      <c r="D45" s="1365" t="s">
        <v>506</v>
      </c>
      <c r="E45" s="2261"/>
      <c r="F45" s="2261"/>
      <c r="G45" s="2261"/>
      <c r="H45" s="2261"/>
      <c r="I45" s="2288"/>
      <c r="J45" s="2258" t="str">
        <f>I44&amp;".1"</f>
        <v>...1.1</v>
      </c>
      <c r="K45" s="1365"/>
      <c r="L45" s="1366" t="s">
        <v>415</v>
      </c>
      <c r="P45" s="2259"/>
      <c r="Q45" s="2259">
        <v>1</v>
      </c>
      <c r="R45" s="359"/>
      <c r="S45" s="1459" t="str">
        <f>$J45</f>
        <v>...1.1</v>
      </c>
      <c r="T45" s="288" t="s">
        <v>416</v>
      </c>
      <c r="U45" s="302"/>
      <c r="V45" s="2247"/>
      <c r="W45" s="2248"/>
      <c r="X45" s="2248"/>
      <c r="Y45" s="2248"/>
      <c r="Z45" s="2248"/>
      <c r="AA45" s="2248"/>
      <c r="AB45" s="2249"/>
      <c r="AC45" s="2247"/>
      <c r="AD45" s="2248"/>
      <c r="AE45" s="2248"/>
      <c r="AF45" s="2248"/>
      <c r="AG45" s="2248"/>
      <c r="AH45" s="2248"/>
      <c r="AI45" s="2248"/>
      <c r="AJ45" s="2249"/>
      <c r="AK45" s="1309" t="s">
        <v>493</v>
      </c>
      <c r="AM45" s="502"/>
      <c r="AN45" s="502" t="str">
        <f>IF(T45="","",T45)</f>
        <v>Группа потребителей</v>
      </c>
      <c r="AO45" s="502"/>
      <c r="AP45" s="502"/>
      <c r="AQ45" s="1157">
        <v>23</v>
      </c>
    </row>
    <row customHeight="1" ht="24">
      <c r="A46" s="1365" t="s">
        <v>250</v>
      </c>
      <c r="B46" s="1365" t="s">
        <v>251</v>
      </c>
      <c r="C46" s="1365" t="s">
        <v>252</v>
      </c>
      <c r="D46" s="1365" t="s">
        <v>506</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68</v>
      </c>
      <c r="AA46" s="2267"/>
      <c r="AB46" s="2109" t="s">
        <v>68</v>
      </c>
      <c r="AC46" s="753"/>
      <c r="AD46" s="753"/>
      <c r="AE46" s="1259"/>
      <c r="AF46" s="2267"/>
      <c r="AG46" s="2109" t="s">
        <v>68</v>
      </c>
      <c r="AH46" s="2289"/>
      <c r="AI46" s="2109" t="s">
        <v>68</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250</v>
      </c>
      <c r="B47" s="1365" t="s">
        <v>251</v>
      </c>
      <c r="C47" s="1365" t="s">
        <v>252</v>
      </c>
      <c r="D47" s="1365" t="s">
        <v>506</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250</v>
      </c>
      <c r="B48" s="1365" t="s">
        <v>251</v>
      </c>
      <c r="C48" s="1365" t="s">
        <v>252</v>
      </c>
      <c r="D48" s="1365" t="s">
        <v>506</v>
      </c>
      <c r="E48" s="2261"/>
      <c r="F48" s="2261"/>
      <c r="G48" s="2261"/>
      <c r="H48" s="2261"/>
      <c r="I48" s="2288"/>
      <c r="J48" s="2258"/>
      <c r="K48" s="1365"/>
      <c r="L48" s="1366"/>
      <c r="P48" s="2259"/>
      <c r="Q48" s="2259"/>
      <c r="R48" s="358"/>
      <c r="S48" s="1280"/>
      <c r="T48" s="289" t="s">
        <v>494</v>
      </c>
      <c r="U48" s="369"/>
      <c r="V48" s="369"/>
      <c r="W48" s="369"/>
      <c r="X48" s="369"/>
      <c r="Y48" s="369"/>
      <c r="Z48" s="369"/>
      <c r="AA48" s="369"/>
      <c r="AB48" s="369"/>
      <c r="AC48" s="369"/>
      <c r="AD48" s="369"/>
      <c r="AE48" s="369"/>
      <c r="AF48" s="369"/>
      <c r="AG48" s="369"/>
      <c r="AH48" s="369"/>
      <c r="AI48" s="369"/>
      <c r="AJ48" s="369"/>
      <c r="AK48" s="1260" t="s">
        <v>495</v>
      </c>
      <c r="AM48" s="502"/>
      <c r="AN48" s="502" t="str">
        <f>IF(T48="","",T48)</f>
        <v>Добавить значение признака дифференциации</v>
      </c>
      <c r="AO48" s="502"/>
      <c r="AP48" s="502"/>
      <c r="AQ48" s="1157">
        <v>20</v>
      </c>
    </row>
    <row customHeight="1" ht="21.75">
      <c r="A49" s="1365" t="s">
        <v>250</v>
      </c>
      <c r="B49" s="1365" t="s">
        <v>251</v>
      </c>
      <c r="C49" s="1365" t="s">
        <v>252</v>
      </c>
      <c r="D49" s="1365" t="s">
        <v>506</v>
      </c>
      <c r="E49" s="2261"/>
      <c r="F49" s="2261"/>
      <c r="G49" s="2261"/>
      <c r="H49" s="2261"/>
      <c r="I49" s="2258"/>
      <c r="J49" s="1365"/>
      <c r="K49" s="1365"/>
      <c r="L49" s="1366"/>
      <c r="P49" s="2259"/>
      <c r="Q49" s="1452"/>
      <c r="R49" s="358"/>
      <c r="S49" s="1280"/>
      <c r="T49" s="367" t="s">
        <v>421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250</v>
      </c>
      <c r="B50" s="1365" t="s">
        <v>251</v>
      </c>
      <c r="C50" s="1365" t="s">
        <v>252</v>
      </c>
      <c r="D50" s="1365" t="s">
        <v>506</v>
      </c>
      <c r="E50" s="2261"/>
      <c r="F50" s="2261"/>
      <c r="G50" s="2261"/>
      <c r="H50" s="2260"/>
      <c r="I50" s="1365"/>
      <c r="J50" s="1365"/>
      <c r="K50" s="1365"/>
      <c r="L50" s="1366"/>
      <c r="M50" s="1367"/>
      <c r="N50" s="1367"/>
      <c r="O50" s="539"/>
      <c r="P50" s="362"/>
      <c r="Q50" s="377"/>
      <c r="R50" s="357"/>
      <c r="S50" s="1280"/>
      <c r="T50" s="374" t="s">
        <v>496</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250</v>
      </c>
      <c r="B51" s="1345" t="s">
        <v>251</v>
      </c>
      <c r="C51" s="1316"/>
      <c r="D51" s="1316"/>
      <c r="E51" s="2261"/>
      <c r="F51" s="2260"/>
      <c r="G51" s="1316"/>
      <c r="H51" s="1316"/>
      <c r="I51" s="1316"/>
      <c r="J51" s="1316"/>
      <c r="K51" s="1316"/>
      <c r="L51" s="1460"/>
      <c r="M51" s="1323"/>
      <c r="N51" s="1323"/>
      <c r="P51" s="1318"/>
      <c r="Q51" s="1319"/>
      <c r="R51" s="1318"/>
      <c r="S51" s="1324"/>
      <c r="T51" s="1327" t="s">
        <v>173</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250</v>
      </c>
      <c r="B52" s="1345"/>
      <c r="C52" s="1345"/>
      <c r="D52" s="1345"/>
      <c r="E52" s="2260"/>
      <c r="F52" s="1345"/>
      <c r="G52" s="1345"/>
      <c r="H52" s="1345"/>
      <c r="I52" s="1345"/>
      <c r="J52" s="1345"/>
      <c r="K52" s="1345"/>
      <c r="L52" s="1348"/>
      <c r="M52" s="1323"/>
      <c r="N52" s="1323"/>
      <c r="O52" s="520"/>
      <c r="P52" s="382"/>
      <c r="Q52" s="1346"/>
      <c r="R52" s="382"/>
      <c r="S52" s="1324"/>
      <c r="T52" s="1327" t="s">
        <v>174</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175</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84</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07C6F4-2D48-86B4-5CFE-0.3A256474}"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125</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405</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406</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407</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408</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409</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410</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411</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412</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68</v>
      </c>
      <c r="Z8" s="1994"/>
      <c r="AA8" s="1992" t="s">
        <v>68</v>
      </c>
      <c r="AB8" s="1998"/>
      <c r="AC8" s="1999" t="s">
        <v>28</v>
      </c>
      <c r="AD8" s="753"/>
      <c r="AE8" s="1259"/>
      <c r="AF8" s="1957"/>
      <c r="AG8" s="1944" t="s">
        <v>68</v>
      </c>
      <c r="AH8" s="1957"/>
      <c r="AI8" s="1944" t="s">
        <v>68</v>
      </c>
      <c r="AJ8" s="1350"/>
      <c r="AK8" s="2255" t="s">
        <v>472</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476</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172</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173</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174</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68</v>
      </c>
      <c r="AH16" s="1738"/>
      <c r="AI16" s="1968" t="s">
        <v>68</v>
      </c>
      <c r="AQ16" s="1633">
        <v>0</v>
      </c>
    </row>
    <row customHeight="1" ht="14.25" hidden="1">
      <c r="AL17" s="1643"/>
      <c r="AM17" s="1643"/>
      <c r="AN17" s="1643"/>
      <c r="AO17" s="1643"/>
      <c r="AP17" s="1643"/>
      <c r="AQ17" s="1633">
        <v>0</v>
      </c>
    </row>
    <row customHeight="1" ht="14.25" hidden="1">
      <c r="O18" s="1347" t="s">
        <v>423</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424</v>
      </c>
      <c r="P20" s="1510"/>
      <c r="Q20" s="1512"/>
      <c r="R20" s="1512"/>
      <c r="Y20" s="1509" t="s">
        <v>426</v>
      </c>
      <c r="AA20" s="1509" t="s">
        <v>427</v>
      </c>
      <c r="AC20" s="1509" t="s">
        <v>478</v>
      </c>
      <c r="AG20" s="1509" t="s">
        <v>426</v>
      </c>
      <c r="AI20" s="1509" t="s">
        <v>427</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43</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429</v>
      </c>
      <c r="T28" s="2252"/>
      <c r="U28" s="1374"/>
      <c r="V28" s="2266" t="str">
        <f>IF(TITLE_DATE_PR_CHANGE="",IF(TITLE_DATE_PR="","",TITLE_DATE_PR),TITLE_DATE_PR_CHANGE)</f>
        <v>46141.35650462963</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430</v>
      </c>
      <c r="T29" s="2252"/>
      <c r="U29" s="1374"/>
      <c r="V29" s="2253" t="str">
        <f>IF(TITLE_NUMBER_PR_CHANGE="",IF(TITLE_NUMBER_PR="","",TITLE_NUMBER_PR),TITLE_NUMBER_PR_CHANGE)</f>
        <v>вх. О-1106 (исх. №382 от 29.04.2026)</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44</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429</v>
      </c>
      <c r="T32" s="2252"/>
      <c r="U32" s="1374"/>
      <c r="V32" s="2266" t="str">
        <f>IF(TITLE_DATE_PR_CHANGE="",IF(TITLE_DATE_PR="","",TITLE_DATE_PR),TITLE_DATE_PR_CHANGE)</f>
        <v>46141.35650462963</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430</v>
      </c>
      <c r="T33" s="2252"/>
      <c r="U33" s="1374"/>
      <c r="V33" s="2253" t="str">
        <f>IF(TITLE_NUMBER_PR_CHANGE="",IF(TITLE_NUMBER_PR="","",TITLE_NUMBER_PR),TITLE_NUMBER_PR_CHANGE)</f>
        <v>вх. О-1106 (исх. №382 от 29.04.2026)</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433</v>
      </c>
      <c r="AB34" s="1644"/>
      <c r="AC34" s="1637"/>
      <c r="AD34" s="1637"/>
      <c r="AE34" s="1637"/>
      <c r="AF34" s="1637"/>
      <c r="AG34" s="1637"/>
      <c r="AH34" s="1637"/>
      <c r="AI34" s="1644" t="s">
        <v>433</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309</v>
      </c>
      <c r="T36" s="2129"/>
      <c r="U36" s="2129"/>
      <c r="V36" s="2129"/>
      <c r="W36" s="2129"/>
      <c r="X36" s="2129"/>
      <c r="Y36" s="2129"/>
      <c r="Z36" s="2129"/>
      <c r="AA36" s="2177"/>
      <c r="AB36" s="2177"/>
      <c r="AC36" s="2177"/>
      <c r="AD36" s="2129"/>
      <c r="AE36" s="2129"/>
      <c r="AF36" s="2129"/>
      <c r="AG36" s="2129"/>
      <c r="AH36" s="2129"/>
      <c r="AI36" s="2129"/>
      <c r="AJ36" s="2129"/>
      <c r="AK36" s="2129" t="s">
        <v>310</v>
      </c>
      <c r="AQ36" s="1633">
        <v>14</v>
      </c>
    </row>
    <row customHeight="1" ht="15">
      <c r="Q37" s="293"/>
      <c r="R37" s="378"/>
      <c r="S37" s="2275" t="s">
        <v>90</v>
      </c>
      <c r="T37" s="2211" t="s">
        <v>507</v>
      </c>
      <c r="U37" s="339"/>
      <c r="V37" s="2277"/>
      <c r="W37" s="2277"/>
      <c r="X37" s="2277"/>
      <c r="Y37" s="2277"/>
      <c r="Z37" s="2277"/>
      <c r="AA37" s="2211" t="s">
        <v>436</v>
      </c>
      <c r="AB37" s="2210" t="s">
        <v>508</v>
      </c>
      <c r="AC37" s="2210" t="s">
        <v>482</v>
      </c>
      <c r="AD37" s="2293" t="s">
        <v>435</v>
      </c>
      <c r="AE37" s="2293"/>
      <c r="AF37" s="2277"/>
      <c r="AG37" s="2277"/>
      <c r="AH37" s="2278"/>
      <c r="AI37" s="2279" t="s">
        <v>436</v>
      </c>
      <c r="AJ37" s="2282" t="s">
        <v>438</v>
      </c>
      <c r="AK37" s="2129"/>
      <c r="AQ37" s="1633">
        <v>14</v>
      </c>
    </row>
    <row customHeight="1" ht="36">
      <c r="Q38" s="293"/>
      <c r="R38" s="378"/>
      <c r="S38" s="2275"/>
      <c r="T38" s="2211"/>
      <c r="U38" s="1033"/>
      <c r="V38" s="2105" t="s">
        <v>485</v>
      </c>
      <c r="W38" s="2129"/>
      <c r="X38" s="2296" t="s">
        <v>442</v>
      </c>
      <c r="Y38" s="2315"/>
      <c r="Z38" s="2315"/>
      <c r="AA38" s="2211"/>
      <c r="AB38" s="2210"/>
      <c r="AC38" s="2210"/>
      <c r="AD38" s="2105" t="s">
        <v>485</v>
      </c>
      <c r="AE38" s="2129"/>
      <c r="AF38" s="2315" t="s">
        <v>442</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137</v>
      </c>
      <c r="C40" s="1268" t="s">
        <v>138</v>
      </c>
      <c r="D40" s="1268" t="s">
        <v>139</v>
      </c>
      <c r="E40" s="1312" t="s">
        <v>443</v>
      </c>
      <c r="F40" s="1312" t="s">
        <v>444</v>
      </c>
      <c r="G40" s="1312" t="s">
        <v>445</v>
      </c>
      <c r="H40" s="1312" t="s">
        <v>446</v>
      </c>
      <c r="I40" s="1312" t="s">
        <v>447</v>
      </c>
      <c r="J40" s="1312" t="s">
        <v>448</v>
      </c>
      <c r="K40" s="1312" t="s">
        <v>449</v>
      </c>
      <c r="L40" s="1312" t="s">
        <v>424</v>
      </c>
      <c r="Q40" s="293"/>
      <c r="R40" s="378"/>
      <c r="S40" s="2275"/>
      <c r="T40" s="2211"/>
      <c r="U40" s="304"/>
      <c r="V40" s="1952" t="s">
        <v>486</v>
      </c>
      <c r="W40" s="1952" t="s">
        <v>487</v>
      </c>
      <c r="X40" s="1940" t="s">
        <v>452</v>
      </c>
      <c r="Y40" s="2272" t="s">
        <v>453</v>
      </c>
      <c r="Z40" s="2322"/>
      <c r="AA40" s="2211"/>
      <c r="AB40" s="2210"/>
      <c r="AC40" s="2210"/>
      <c r="AD40" s="1970" t="s">
        <v>486</v>
      </c>
      <c r="AE40" s="1961" t="s">
        <v>487</v>
      </c>
      <c r="AF40" s="1940" t="s">
        <v>452</v>
      </c>
      <c r="AG40" s="2272" t="s">
        <v>453</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111</v>
      </c>
      <c r="T41" s="1257" t="s">
        <v>112</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215</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125</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215</v>
      </c>
      <c r="B43" s="1269" t="s">
        <v>216</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406</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407</v>
      </c>
      <c r="AM43" s="1626"/>
      <c r="AN43" s="1626" t="str">
        <f>IF(T43="","",T43)</f>
        <v>Территория действия тарифа</v>
      </c>
      <c r="AO43" s="1626"/>
      <c r="AP43" s="1626"/>
      <c r="AQ43" s="1633">
        <v>21</v>
      </c>
    </row>
    <row customHeight="1" ht="24">
      <c r="A44" s="1269" t="s">
        <v>215</v>
      </c>
      <c r="B44" s="1269" t="s">
        <v>216</v>
      </c>
      <c r="C44" s="1269" t="s">
        <v>217</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408</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409</v>
      </c>
      <c r="AM44" s="1626"/>
      <c r="AN44" s="1626" t="str">
        <f>IF(T44="","",T44)</f>
        <v>Наименование системы теплоснабжения </v>
      </c>
      <c r="AO44" s="1626"/>
      <c r="AP44" s="1626"/>
      <c r="AQ44" s="1633">
        <v>23</v>
      </c>
    </row>
    <row customHeight="1" ht="21.75">
      <c r="A45" s="1269" t="s">
        <v>215</v>
      </c>
      <c r="B45" s="1269" t="s">
        <v>216</v>
      </c>
      <c r="C45" s="1269" t="s">
        <v>217</v>
      </c>
      <c r="D45" s="1269" t="s">
        <v>218</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410</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411</v>
      </c>
      <c r="AM45" s="1626"/>
      <c r="AN45" s="1626" t="str">
        <f>IF(T45="","",T45)</f>
        <v>Источник тепловой энергии  </v>
      </c>
      <c r="AO45" s="1626"/>
      <c r="AP45" s="1626"/>
      <c r="AQ45" s="1633">
        <v>21</v>
      </c>
    </row>
    <row s="1644" customFormat="1" customHeight="1" ht="0">
      <c r="A46" s="1377" t="s">
        <v>215</v>
      </c>
      <c r="B46" s="1377" t="s">
        <v>216</v>
      </c>
      <c r="C46" s="1377" t="s">
        <v>217</v>
      </c>
      <c r="D46" s="1377" t="s">
        <v>218</v>
      </c>
      <c r="E46" s="2292"/>
      <c r="F46" s="2292"/>
      <c r="G46" s="2292"/>
      <c r="H46" s="2292"/>
      <c r="I46" s="2129" t="str">
        <f>S45&amp;".1"</f>
        <v>....1</v>
      </c>
      <c r="J46" s="1377"/>
      <c r="K46" s="1377"/>
      <c r="L46" s="1383" t="s">
        <v>412</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215</v>
      </c>
      <c r="B47" s="1377" t="s">
        <v>216</v>
      </c>
      <c r="C47" s="1377" t="s">
        <v>217</v>
      </c>
      <c r="D47" s="1377" t="s">
        <v>218</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215</v>
      </c>
      <c r="B48" s="1269" t="s">
        <v>216</v>
      </c>
      <c r="C48" s="1269" t="s">
        <v>217</v>
      </c>
      <c r="D48" s="1269" t="s">
        <v>218</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68</v>
      </c>
      <c r="Z48" s="1957"/>
      <c r="AA48" s="1944" t="s">
        <v>68</v>
      </c>
      <c r="AB48" s="1966"/>
      <c r="AC48" s="1965" t="s">
        <v>28</v>
      </c>
      <c r="AD48" s="753"/>
      <c r="AE48" s="1259"/>
      <c r="AF48" s="1957"/>
      <c r="AG48" s="1944" t="s">
        <v>68</v>
      </c>
      <c r="AH48" s="1957"/>
      <c r="AI48" s="1944" t="s">
        <v>68</v>
      </c>
      <c r="AJ48" s="1350"/>
      <c r="AK48" s="2255" t="s">
        <v>488</v>
      </c>
      <c r="AL48" s="1638">
        <f>STRCHECKDATE(#REF!)</f>
      </c>
      <c r="AM48" s="1626"/>
      <c r="AN48" s="1626" t="str">
        <f>IF(T48="","",T48)</f>
        <v/>
      </c>
      <c r="AO48" s="1626"/>
      <c r="AP48" s="1626"/>
      <c r="AQ48" s="1633">
        <v>21</v>
      </c>
    </row>
    <row customHeight="1" ht="11.25">
      <c r="A49" s="1269" t="s">
        <v>215</v>
      </c>
      <c r="B49" s="1269" t="s">
        <v>216</v>
      </c>
      <c r="C49" s="1269" t="s">
        <v>217</v>
      </c>
      <c r="D49" s="1269" t="s">
        <v>218</v>
      </c>
      <c r="E49" s="2292"/>
      <c r="F49" s="2292"/>
      <c r="G49" s="2292"/>
      <c r="H49" s="2292"/>
      <c r="I49" s="2103"/>
      <c r="J49" s="2129"/>
      <c r="K49" s="1269"/>
      <c r="L49" s="1312"/>
      <c r="P49" s="2259"/>
      <c r="Q49" s="2259"/>
      <c r="R49" s="358"/>
      <c r="S49" s="1280"/>
      <c r="T49" s="289" t="s">
        <v>476</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215</v>
      </c>
      <c r="B50" s="1377" t="s">
        <v>216</v>
      </c>
      <c r="C50" s="1377" t="s">
        <v>217</v>
      </c>
      <c r="D50" s="1377" t="s">
        <v>218</v>
      </c>
      <c r="E50" s="2292"/>
      <c r="F50" s="2292"/>
      <c r="G50" s="2292"/>
      <c r="H50" s="2292"/>
      <c r="I50" s="2129"/>
      <c r="J50" s="1377"/>
      <c r="K50" s="1377"/>
      <c r="L50" s="1383"/>
      <c r="M50" s="1248"/>
      <c r="N50" s="1248"/>
      <c r="O50" s="1248"/>
      <c r="P50" s="2259"/>
      <c r="Q50" s="1956"/>
      <c r="R50" s="358"/>
      <c r="S50" s="1388"/>
      <c r="T50" s="1389" t="s">
        <v>421</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215</v>
      </c>
      <c r="B51" s="1377" t="s">
        <v>216</v>
      </c>
      <c r="C51" s="1377" t="s">
        <v>217</v>
      </c>
      <c r="D51" s="1377" t="s">
        <v>218</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215</v>
      </c>
      <c r="B52" s="1377" t="s">
        <v>216</v>
      </c>
      <c r="C52" s="1377" t="s">
        <v>217</v>
      </c>
      <c r="D52" s="1376"/>
      <c r="E52" s="2292"/>
      <c r="F52" s="2292"/>
      <c r="G52" s="2291"/>
      <c r="H52" s="1376"/>
      <c r="I52" s="1376"/>
      <c r="J52" s="1376"/>
      <c r="K52" s="1376"/>
      <c r="L52" s="1379"/>
      <c r="M52" s="1380"/>
      <c r="N52" s="1380"/>
      <c r="O52" s="353"/>
      <c r="P52" s="1318"/>
      <c r="Q52" s="1319"/>
      <c r="R52" s="1318"/>
      <c r="S52" s="1324"/>
      <c r="T52" s="1327" t="s">
        <v>172</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215</v>
      </c>
      <c r="B53" s="1377" t="s">
        <v>216</v>
      </c>
      <c r="C53" s="1376"/>
      <c r="D53" s="1376"/>
      <c r="E53" s="2292"/>
      <c r="F53" s="2291"/>
      <c r="G53" s="1376"/>
      <c r="H53" s="1376"/>
      <c r="I53" s="1376"/>
      <c r="J53" s="1376"/>
      <c r="K53" s="1376"/>
      <c r="L53" s="1379"/>
      <c r="M53" s="1381"/>
      <c r="N53" s="1381"/>
      <c r="O53" s="353"/>
      <c r="P53" s="1318"/>
      <c r="Q53" s="1319"/>
      <c r="R53" s="1318"/>
      <c r="S53" s="1324"/>
      <c r="T53" s="1327" t="s">
        <v>173</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215</v>
      </c>
      <c r="B54" s="1377"/>
      <c r="C54" s="1377"/>
      <c r="D54" s="1377"/>
      <c r="E54" s="2292"/>
      <c r="F54" s="1377"/>
      <c r="G54" s="1377"/>
      <c r="H54" s="1377"/>
      <c r="I54" s="1377"/>
      <c r="J54" s="1377"/>
      <c r="K54" s="1377"/>
      <c r="L54" s="1383"/>
      <c r="M54" s="1381"/>
      <c r="N54" s="1381"/>
      <c r="O54" s="353"/>
      <c r="P54" s="382"/>
      <c r="Q54" s="1346"/>
      <c r="R54" s="382"/>
      <c r="S54" s="1324"/>
      <c r="T54" s="1327" t="s">
        <v>174</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215</v>
      </c>
      <c r="B55" s="1377"/>
      <c r="C55" s="1377"/>
      <c r="D55" s="1377"/>
      <c r="E55" s="2291"/>
      <c r="F55" s="1377"/>
      <c r="G55" s="1377"/>
      <c r="H55" s="1377"/>
      <c r="I55" s="1377"/>
      <c r="J55" s="1377"/>
      <c r="K55" s="1377"/>
      <c r="L55" s="1383"/>
      <c r="M55" s="1381"/>
      <c r="N55" s="1381"/>
      <c r="O55" s="353"/>
      <c r="P55" s="382"/>
      <c r="Q55" s="1346"/>
      <c r="R55" s="382"/>
      <c r="S55" s="1324"/>
      <c r="T55" s="1327" t="s">
        <v>174</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175</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84</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C120AF-57DC-3134-82E2-0.5D899A6D}"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406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407</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489</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490</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411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412</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68</v>
      </c>
      <c r="AB8" s="1736"/>
      <c r="AC8" s="1461" t="s">
        <v>68</v>
      </c>
      <c r="AD8" s="2187" t="s">
        <v>68</v>
      </c>
      <c r="AE8" s="2328"/>
      <c r="AF8" s="2207">
        <v>1</v>
      </c>
      <c r="AG8" s="2365"/>
      <c r="AH8" s="2109" t="s">
        <v>68</v>
      </c>
      <c r="AI8" s="2328"/>
      <c r="AJ8" s="2207">
        <v>1</v>
      </c>
      <c r="AK8" s="2329" t="s">
        <v>28</v>
      </c>
      <c r="AL8" s="2109" t="s">
        <v>68</v>
      </c>
      <c r="AM8" s="2194"/>
      <c r="AN8" s="2207">
        <v>1</v>
      </c>
      <c r="AO8" s="2359"/>
      <c r="AP8" s="2360" t="s">
        <v>68</v>
      </c>
      <c r="AQ8" s="313"/>
      <c r="AR8" s="1465">
        <v>1</v>
      </c>
      <c r="AS8" s="1468" t="s">
        <v>28</v>
      </c>
      <c r="AT8" s="753"/>
      <c r="AU8" s="1259"/>
      <c r="AV8" s="753"/>
      <c r="AW8" s="1259"/>
      <c r="AX8" s="1736"/>
      <c r="AY8" s="1461" t="s">
        <v>68</v>
      </c>
      <c r="AZ8" s="1736"/>
      <c r="BA8" s="1461" t="s">
        <v>68</v>
      </c>
      <c r="BB8" s="1350"/>
      <c r="BC8" s="2255" t="s">
        <v>509</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510</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511</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512</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513</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476</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173</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174</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68</v>
      </c>
      <c r="AZ20" s="1738"/>
      <c r="BA20" s="1462" t="s">
        <v>68</v>
      </c>
      <c r="BI20" s="1157">
        <v>0</v>
      </c>
    </row>
    <row customHeight="1" ht="14.25" hidden="1">
      <c r="BD21" s="498"/>
      <c r="BE21" s="498"/>
      <c r="BF21" s="498"/>
      <c r="BG21" s="498"/>
      <c r="BH21" s="498"/>
      <c r="BI21" s="1157">
        <v>0</v>
      </c>
    </row>
    <row customHeight="1" ht="14.25" hidden="1">
      <c r="O22" s="1369" t="s">
        <v>423</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424</v>
      </c>
      <c r="P24" s="1510"/>
      <c r="Q24" s="1512"/>
      <c r="R24" s="1512"/>
      <c r="AA24" s="1509" t="s">
        <v>426</v>
      </c>
      <c r="AC24" s="1509" t="s">
        <v>427</v>
      </c>
      <c r="AD24" s="1509" t="s">
        <v>477</v>
      </c>
      <c r="AH24" s="1509" t="s">
        <v>477</v>
      </c>
      <c r="AK24" s="1509" t="s">
        <v>514</v>
      </c>
      <c r="AL24" s="1509" t="s">
        <v>477</v>
      </c>
      <c r="AP24" s="1509" t="s">
        <v>477</v>
      </c>
      <c r="AY24" s="1509" t="s">
        <v>426</v>
      </c>
      <c r="BA24" s="1509" t="s">
        <v>427</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43</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429</v>
      </c>
      <c r="T32" s="2252"/>
      <c r="U32" s="1374"/>
      <c r="V32" s="2266" t="str">
        <f>IF(TITLE_DATE_PR_CHANGE="",IF(TITLE_DATE_PR="","",TITLE_DATE_PR),TITLE_DATE_PR_CHANGE)</f>
        <v>46141.35650462963</v>
      </c>
      <c r="W32" s="2266"/>
      <c r="X32" s="2266"/>
      <c r="Y32" s="2266"/>
      <c r="Z32" s="2266"/>
      <c r="AA32" s="2266"/>
      <c r="AB32" s="2266"/>
      <c r="AC32" s="328"/>
      <c r="AD32" s="2266" t="str">
        <f>IF(TITLE_DATE_PR_CHANGE="",IF(TITLE_DATE_PR="","",TITLE_DATE_PR),TITLE_DATE_PR_CHANGE)</f>
        <v>46141.35650462963</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430</v>
      </c>
      <c r="T33" s="2252"/>
      <c r="U33" s="1374"/>
      <c r="V33" s="2253" t="str">
        <f>IF(TITLE_NUMBER_PR_CHANGE="",IF(TITLE_NUMBER_PR="","",TITLE_NUMBER_PR),TITLE_NUMBER_PR_CHANGE)</f>
        <v>вх. О-1106 (исх. №382 от 29.04.2026)</v>
      </c>
      <c r="W33" s="2253"/>
      <c r="X33" s="2253"/>
      <c r="Y33" s="2253"/>
      <c r="Z33" s="2253"/>
      <c r="AA33" s="2253"/>
      <c r="AB33" s="2253"/>
      <c r="AC33" s="328"/>
      <c r="AD33" s="2253" t="str">
        <f>IF(TITLE_NUMBER_PR_CHANGE="",IF(TITLE_NUMBER_PR="","",TITLE_NUMBER_PR),TITLE_NUMBER_PR_CHANGE)</f>
        <v>вх. О-1106 (исх. №382 от 29.04.2026)</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44</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429</v>
      </c>
      <c r="T36" s="2252"/>
      <c r="U36" s="1374"/>
      <c r="V36" s="2266" t="str">
        <f>IF(TITLE_DATE_PR_CHANGE="",IF(TITLE_DATE_PR="","",TITLE_DATE_PR),TITLE_DATE_PR_CHANGE)</f>
        <v>46141.35650462963</v>
      </c>
      <c r="W36" s="2266"/>
      <c r="X36" s="2266"/>
      <c r="Y36" s="2266"/>
      <c r="Z36" s="2266"/>
      <c r="AA36" s="2266"/>
      <c r="AB36" s="2266"/>
      <c r="AC36" s="328"/>
      <c r="AD36" s="2266" t="str">
        <f>IF(TITLE_DATE_PR_CHANGE="",IF(TITLE_DATE_PR="","",TITLE_DATE_PR),TITLE_DATE_PR_CHANGE)</f>
        <v>46141.35650462963</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430</v>
      </c>
      <c r="T37" s="2252"/>
      <c r="U37" s="1374"/>
      <c r="V37" s="2253" t="str">
        <f>IF(TITLE_NUMBER_PR_CHANGE="",IF(TITLE_NUMBER_PR="","",TITLE_NUMBER_PR),TITLE_NUMBER_PR_CHANGE)</f>
        <v>вх. О-1106 (исх. №382 от 29.04.2026)</v>
      </c>
      <c r="W37" s="2253"/>
      <c r="X37" s="2253"/>
      <c r="Y37" s="2253"/>
      <c r="Z37" s="2253"/>
      <c r="AA37" s="2253"/>
      <c r="AB37" s="2253"/>
      <c r="AC37" s="328"/>
      <c r="AD37" s="2253" t="str">
        <f>IF(TITLE_NUMBER_PR_CHANGE="",IF(TITLE_NUMBER_PR="","",TITLE_NUMBER_PR),TITLE_NUMBER_PR_CHANGE)</f>
        <v>вх. О-1106 (исх. №382 от 29.04.2026)</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433</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433</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310</v>
      </c>
      <c r="BI40" s="1157">
        <v>14</v>
      </c>
    </row>
    <row customHeight="1" ht="15">
      <c r="Q41" s="293"/>
      <c r="R41" s="378"/>
      <c r="S41" s="2275" t="s">
        <v>90</v>
      </c>
      <c r="T41" s="2211" t="s">
        <v>515</v>
      </c>
      <c r="U41" s="303"/>
      <c r="V41" s="2276" t="s">
        <v>435</v>
      </c>
      <c r="W41" s="2277"/>
      <c r="X41" s="2277"/>
      <c r="Y41" s="2277"/>
      <c r="Z41" s="2277"/>
      <c r="AA41" s="2277"/>
      <c r="AB41" s="2278"/>
      <c r="AC41" s="2279" t="s">
        <v>436</v>
      </c>
      <c r="AD41" s="2330" t="s">
        <v>516</v>
      </c>
      <c r="AE41" s="2293"/>
      <c r="AF41" s="2293"/>
      <c r="AG41" s="2331"/>
      <c r="AH41" s="2330" t="s">
        <v>517</v>
      </c>
      <c r="AI41" s="2293"/>
      <c r="AJ41" s="2293"/>
      <c r="AK41" s="2331"/>
      <c r="AL41" s="2330" t="s">
        <v>518</v>
      </c>
      <c r="AM41" s="2293"/>
      <c r="AN41" s="2293"/>
      <c r="AO41" s="2331"/>
      <c r="AP41" s="2330" t="s">
        <v>519</v>
      </c>
      <c r="AQ41" s="2293"/>
      <c r="AR41" s="2293"/>
      <c r="AS41" s="2331"/>
      <c r="AT41" s="2276" t="s">
        <v>435</v>
      </c>
      <c r="AU41" s="2277"/>
      <c r="AV41" s="2277"/>
      <c r="AW41" s="2277"/>
      <c r="AX41" s="2277"/>
      <c r="AY41" s="2277"/>
      <c r="AZ41" s="2278"/>
      <c r="BA41" s="2279" t="s">
        <v>436</v>
      </c>
      <c r="BB41" s="2282" t="s">
        <v>438</v>
      </c>
      <c r="BC41" s="2129"/>
      <c r="BI41" s="1157">
        <v>14</v>
      </c>
    </row>
    <row customHeight="1" ht="36">
      <c r="Q42" s="293"/>
      <c r="R42" s="378"/>
      <c r="S42" s="2275"/>
      <c r="T42" s="2211"/>
      <c r="U42" s="1033"/>
      <c r="V42" s="2194" t="s">
        <v>520</v>
      </c>
      <c r="W42" s="2195"/>
      <c r="X42" s="2194" t="s">
        <v>521</v>
      </c>
      <c r="Y42" s="2195"/>
      <c r="Z42" s="2296" t="s">
        <v>522</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520</v>
      </c>
      <c r="AU42" s="2195"/>
      <c r="AV42" s="2194" t="s">
        <v>521</v>
      </c>
      <c r="AW42" s="2195"/>
      <c r="AX42" s="2296" t="s">
        <v>522</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443</v>
      </c>
      <c r="F44" s="1366" t="s">
        <v>444</v>
      </c>
      <c r="G44" s="1366" t="s">
        <v>445</v>
      </c>
      <c r="H44" s="1366" t="s">
        <v>446</v>
      </c>
      <c r="I44" s="1366" t="s">
        <v>447</v>
      </c>
      <c r="J44" s="1366" t="s">
        <v>448</v>
      </c>
      <c r="K44" s="1366" t="s">
        <v>449</v>
      </c>
      <c r="L44" s="1366" t="s">
        <v>424</v>
      </c>
      <c r="Q44" s="293"/>
      <c r="R44" s="378"/>
      <c r="S44" s="2275"/>
      <c r="T44" s="2211"/>
      <c r="U44" s="304"/>
      <c r="V44" s="1450" t="s">
        <v>486</v>
      </c>
      <c r="W44" s="1450" t="s">
        <v>487</v>
      </c>
      <c r="X44" s="1450" t="s">
        <v>486</v>
      </c>
      <c r="Y44" s="1450" t="s">
        <v>487</v>
      </c>
      <c r="Z44" s="1457" t="s">
        <v>452</v>
      </c>
      <c r="AA44" s="2272" t="s">
        <v>453</v>
      </c>
      <c r="AB44" s="2273"/>
      <c r="AC44" s="2281"/>
      <c r="AD44" s="2335"/>
      <c r="AE44" s="2336"/>
      <c r="AF44" s="2336"/>
      <c r="AG44" s="2337"/>
      <c r="AH44" s="2335"/>
      <c r="AI44" s="2336"/>
      <c r="AJ44" s="2336"/>
      <c r="AK44" s="2337"/>
      <c r="AL44" s="2335"/>
      <c r="AM44" s="2336"/>
      <c r="AN44" s="2336"/>
      <c r="AO44" s="2337"/>
      <c r="AP44" s="2335"/>
      <c r="AQ44" s="2336"/>
      <c r="AR44" s="2336"/>
      <c r="AS44" s="2337"/>
      <c r="AT44" s="1450" t="s">
        <v>486</v>
      </c>
      <c r="AU44" s="1450" t="s">
        <v>487</v>
      </c>
      <c r="AV44" s="1450" t="s">
        <v>486</v>
      </c>
      <c r="AW44" s="1450" t="s">
        <v>487</v>
      </c>
      <c r="AX44" s="1457" t="s">
        <v>452</v>
      </c>
      <c r="AY44" s="2272" t="s">
        <v>453</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111</v>
      </c>
      <c r="T45" s="1257" t="s">
        <v>112</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255</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255</v>
      </c>
      <c r="B47" s="1365" t="s">
        <v>256</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406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407</v>
      </c>
      <c r="BE47" s="502"/>
      <c r="BF47" s="502" t="str">
        <f>IF(T47="","",T47)</f>
        <v>Территория действия тарифа</v>
      </c>
      <c r="BG47" s="502"/>
      <c r="BH47" s="502"/>
      <c r="BI47" s="1157">
        <v>21</v>
      </c>
    </row>
    <row customHeight="1" ht="42.75">
      <c r="A48" s="1365" t="s">
        <v>255</v>
      </c>
      <c r="B48" s="1365" t="s">
        <v>256</v>
      </c>
      <c r="C48" s="1365" t="s">
        <v>257</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489</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490</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255</v>
      </c>
      <c r="B49" s="1345" t="s">
        <v>256</v>
      </c>
      <c r="C49" s="1345" t="s">
        <v>257</v>
      </c>
      <c r="D49" s="1345" t="s">
        <v>523</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411</v>
      </c>
      <c r="BE49" s="502"/>
      <c r="BF49" s="502" t="str">
        <f>IF(T49="","",T49)</f>
        <v/>
      </c>
      <c r="BG49" s="502"/>
      <c r="BH49" s="502"/>
      <c r="BI49" s="513">
        <v>0</v>
      </c>
    </row>
    <row s="1644" customFormat="1" customHeight="1" ht="0">
      <c r="A50" s="1345" t="s">
        <v>255</v>
      </c>
      <c r="B50" s="1345" t="s">
        <v>256</v>
      </c>
      <c r="C50" s="1345" t="s">
        <v>257</v>
      </c>
      <c r="D50" s="1345" t="s">
        <v>523</v>
      </c>
      <c r="E50" s="2261"/>
      <c r="F50" s="2261"/>
      <c r="G50" s="2261"/>
      <c r="H50" s="2261"/>
      <c r="I50" s="2258" t="str">
        <f>S49&amp;".1"</f>
        <v>.1</v>
      </c>
      <c r="J50" s="1345"/>
      <c r="K50" s="1345"/>
      <c r="L50" s="1348" t="s">
        <v>412</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255</v>
      </c>
      <c r="B51" s="1345" t="s">
        <v>256</v>
      </c>
      <c r="C51" s="1345" t="s">
        <v>257</v>
      </c>
      <c r="D51" s="1345" t="s">
        <v>523</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255</v>
      </c>
      <c r="B52" s="1365" t="s">
        <v>256</v>
      </c>
      <c r="C52" s="1365" t="s">
        <v>257</v>
      </c>
      <c r="D52" s="1365" t="s">
        <v>523</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68</v>
      </c>
      <c r="AB52" s="1736"/>
      <c r="AC52" s="1461" t="s">
        <v>68</v>
      </c>
      <c r="AD52" s="2187" t="s">
        <v>68</v>
      </c>
      <c r="AE52" s="2328"/>
      <c r="AF52" s="2207">
        <v>1</v>
      </c>
      <c r="AG52" s="2365"/>
      <c r="AH52" s="2109" t="s">
        <v>68</v>
      </c>
      <c r="AI52" s="2328"/>
      <c r="AJ52" s="2207">
        <v>1</v>
      </c>
      <c r="AK52" s="2329" t="s">
        <v>28</v>
      </c>
      <c r="AL52" s="2109" t="s">
        <v>68</v>
      </c>
      <c r="AM52" s="2194"/>
      <c r="AN52" s="2207">
        <v>1</v>
      </c>
      <c r="AO52" s="2359"/>
      <c r="AP52" s="2360" t="s">
        <v>68</v>
      </c>
      <c r="AQ52" s="313"/>
      <c r="AR52" s="1465">
        <v>1</v>
      </c>
      <c r="AS52" s="1468" t="s">
        <v>28</v>
      </c>
      <c r="AT52" s="753"/>
      <c r="AU52" s="1259"/>
      <c r="AV52" s="753"/>
      <c r="AW52" s="1259"/>
      <c r="AX52" s="1736"/>
      <c r="AY52" s="1461" t="s">
        <v>68</v>
      </c>
      <c r="AZ52" s="1736"/>
      <c r="BA52" s="1461" t="s">
        <v>68</v>
      </c>
      <c r="BB52" s="1350"/>
      <c r="BC52" s="2255" t="s">
        <v>509</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510</v>
      </c>
      <c r="AT53" s="1395"/>
      <c r="AU53" s="1498"/>
      <c r="AV53" s="1395"/>
      <c r="AW53" s="1498"/>
      <c r="AX53" s="1395"/>
      <c r="AY53" s="1395"/>
      <c r="AZ53" s="1395"/>
      <c r="BA53" s="1395"/>
      <c r="BB53" s="1399"/>
      <c r="BC53" s="2256"/>
      <c r="BE53" s="502"/>
      <c r="BF53" s="502"/>
      <c r="BG53" s="502"/>
      <c r="BH53" s="502"/>
      <c r="BI53" s="1157">
        <v>11</v>
      </c>
    </row>
    <row customHeight="1" ht="11.25">
      <c r="A54" s="1365" t="s">
        <v>255</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511</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255</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512</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255</v>
      </c>
      <c r="B56" s="1365" t="s">
        <v>256</v>
      </c>
      <c r="C56" s="1365" t="s">
        <v>257</v>
      </c>
      <c r="D56" s="1365" t="s">
        <v>523</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513</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255</v>
      </c>
      <c r="B57" s="1365" t="s">
        <v>256</v>
      </c>
      <c r="C57" s="1365" t="s">
        <v>257</v>
      </c>
      <c r="D57" s="1365" t="s">
        <v>523</v>
      </c>
      <c r="E57" s="2261"/>
      <c r="F57" s="2261"/>
      <c r="G57" s="2261"/>
      <c r="H57" s="2261"/>
      <c r="I57" s="2288"/>
      <c r="J57" s="2258"/>
      <c r="K57" s="1365"/>
      <c r="L57" s="1366"/>
      <c r="P57" s="2259"/>
      <c r="Q57" s="2259"/>
      <c r="R57" s="358"/>
      <c r="S57" s="1280"/>
      <c r="T57" s="289" t="s">
        <v>476</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255</v>
      </c>
      <c r="B58" s="1345" t="s">
        <v>256</v>
      </c>
      <c r="C58" s="1345" t="s">
        <v>257</v>
      </c>
      <c r="D58" s="1345" t="s">
        <v>523</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255</v>
      </c>
      <c r="B59" s="1345" t="s">
        <v>256</v>
      </c>
      <c r="C59" s="1345" t="s">
        <v>257</v>
      </c>
      <c r="D59" s="1345" t="s">
        <v>523</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255</v>
      </c>
      <c r="B60" s="1345" t="s">
        <v>256</v>
      </c>
      <c r="C60" s="1345" t="s">
        <v>257</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255</v>
      </c>
      <c r="B61" s="1345" t="s">
        <v>256</v>
      </c>
      <c r="C61" s="1316"/>
      <c r="D61" s="1316"/>
      <c r="E61" s="2261"/>
      <c r="F61" s="2260"/>
      <c r="G61" s="1316"/>
      <c r="H61" s="1316"/>
      <c r="I61" s="1316"/>
      <c r="J61" s="1316"/>
      <c r="K61" s="1316"/>
      <c r="L61" s="1466"/>
      <c r="M61" s="1323"/>
      <c r="N61" s="1323"/>
      <c r="P61" s="1318"/>
      <c r="Q61" s="1319"/>
      <c r="R61" s="1318"/>
      <c r="S61" s="1324"/>
      <c r="T61" s="1327" t="s">
        <v>173</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255</v>
      </c>
      <c r="B62" s="1345"/>
      <c r="C62" s="1345"/>
      <c r="D62" s="1345"/>
      <c r="E62" s="2260"/>
      <c r="F62" s="1345"/>
      <c r="G62" s="1345"/>
      <c r="H62" s="1345"/>
      <c r="I62" s="1345"/>
      <c r="J62" s="1345"/>
      <c r="K62" s="1345"/>
      <c r="L62" s="1348"/>
      <c r="M62" s="1323"/>
      <c r="N62" s="1323"/>
      <c r="O62" s="520"/>
      <c r="P62" s="382"/>
      <c r="Q62" s="1346"/>
      <c r="R62" s="382"/>
      <c r="S62" s="1324"/>
      <c r="T62" s="1327" t="s">
        <v>174</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175</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84</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173769-FAD9-BFC8-B634-0.65C599B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524</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525</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491</v>
      </c>
      <c r="U5" s="302"/>
      <c r="V5" s="2352"/>
      <c r="W5" s="2353"/>
      <c r="X5" s="2353"/>
      <c r="Y5" s="2353"/>
      <c r="Z5" s="2353"/>
      <c r="AA5" s="2353"/>
      <c r="AB5" s="2354"/>
      <c r="AC5" s="2355"/>
      <c r="AD5" s="2356"/>
      <c r="AE5" s="2356"/>
      <c r="AF5" s="2356"/>
      <c r="AG5" s="2356"/>
      <c r="AH5" s="2356"/>
      <c r="AI5" s="2356"/>
      <c r="AJ5" s="2357"/>
      <c r="AK5" s="1260" t="s">
        <v>492</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415</v>
      </c>
      <c r="P6" s="2259"/>
      <c r="Q6" s="2259">
        <v>1</v>
      </c>
      <c r="R6" s="359"/>
      <c r="S6" s="1495">
        <f>$J6</f>
      </c>
      <c r="T6" s="288" t="s">
        <v>416</v>
      </c>
      <c r="U6" s="302"/>
      <c r="V6" s="2247"/>
      <c r="W6" s="2248"/>
      <c r="X6" s="2248"/>
      <c r="Y6" s="2248"/>
      <c r="Z6" s="2248"/>
      <c r="AA6" s="2248"/>
      <c r="AB6" s="2249"/>
      <c r="AC6" s="2247"/>
      <c r="AD6" s="2248"/>
      <c r="AE6" s="2248"/>
      <c r="AF6" s="2248"/>
      <c r="AG6" s="2248"/>
      <c r="AH6" s="2248"/>
      <c r="AI6" s="2248"/>
      <c r="AJ6" s="2249"/>
      <c r="AK6" s="1309" t="s">
        <v>493</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68</v>
      </c>
      <c r="AA7" s="2267"/>
      <c r="AB7" s="2109" t="s">
        <v>68</v>
      </c>
      <c r="AC7" s="753"/>
      <c r="AD7" s="753"/>
      <c r="AE7" s="1259"/>
      <c r="AF7" s="2267"/>
      <c r="AG7" s="2109" t="s">
        <v>68</v>
      </c>
      <c r="AH7" s="2289"/>
      <c r="AI7" s="2109" t="s">
        <v>68</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494</v>
      </c>
      <c r="U9" s="369"/>
      <c r="V9" s="369"/>
      <c r="W9" s="369"/>
      <c r="X9" s="369"/>
      <c r="Y9" s="369"/>
      <c r="Z9" s="369"/>
      <c r="AA9" s="369"/>
      <c r="AB9" s="369"/>
      <c r="AC9" s="369"/>
      <c r="AD9" s="369"/>
      <c r="AE9" s="369"/>
      <c r="AF9" s="369"/>
      <c r="AG9" s="369"/>
      <c r="AH9" s="369"/>
      <c r="AI9" s="369"/>
      <c r="AJ9" s="369"/>
      <c r="AK9" s="1260" t="s">
        <v>495</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421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496</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173</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174</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68</v>
      </c>
      <c r="AH15" s="2269"/>
      <c r="AI15" s="2270" t="s">
        <v>68</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423</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424</v>
      </c>
      <c r="P20" s="1364"/>
      <c r="Q20" s="1444"/>
      <c r="R20" s="1444"/>
      <c r="S20" s="731"/>
      <c r="T20" s="1162" t="s">
        <v>425</v>
      </c>
      <c r="Z20" s="188" t="s">
        <v>426</v>
      </c>
      <c r="AB20" s="188" t="s">
        <v>427</v>
      </c>
      <c r="AC20" s="1162" t="s">
        <v>425</v>
      </c>
      <c r="AG20" s="188" t="s">
        <v>428</v>
      </c>
      <c r="AI20" s="188" t="s">
        <v>427</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43</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429</v>
      </c>
      <c r="T28" s="2252"/>
      <c r="U28" s="1374"/>
      <c r="V28" s="2266" t="str">
        <f>IF(TITLE_DATE_PR_CHANGE="",IF(TITLE_DATE_PR="","",TITLE_DATE_PR),TITLE_DATE_PR_CHANGE)</f>
        <v>46141.35650462963</v>
      </c>
      <c r="W28" s="2266"/>
      <c r="X28" s="2266"/>
      <c r="Y28" s="2266"/>
      <c r="Z28" s="2266"/>
      <c r="AA28" s="2266"/>
      <c r="AB28" s="328"/>
      <c r="AC28" s="2266" t="str">
        <f>IF(TITLE_DATE_PR_CHANGE="",IF(TITLE_DATE_PR="","",TITLE_DATE_PR),TITLE_DATE_PR_CHANGE)</f>
        <v>46141.35650462963</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430</v>
      </c>
      <c r="T29" s="2252"/>
      <c r="U29" s="1374"/>
      <c r="V29" s="2253" t="str">
        <f>IF(TITLE_NUMBER_PR_CHANGE="",IF(TITLE_NUMBER_PR="","",TITLE_NUMBER_PR),TITLE_NUMBER_PR_CHANGE)</f>
        <v>вх. О-1106 (исх. №382 от 29.04.2026)</v>
      </c>
      <c r="W29" s="2253"/>
      <c r="X29" s="2253"/>
      <c r="Y29" s="2253"/>
      <c r="Z29" s="2253"/>
      <c r="AA29" s="2253"/>
      <c r="AB29" s="328"/>
      <c r="AC29" s="2253" t="str">
        <f>IF(TITLE_NUMBER_PR_CHANGE="",IF(TITLE_NUMBER_PR="","",TITLE_NUMBER_PR),TITLE_NUMBER_PR_CHANGE)</f>
        <v>вх. О-1106 (исх. №382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44</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431</v>
      </c>
      <c r="T32" s="2252"/>
      <c r="U32" s="1374"/>
      <c r="V32" s="2266" t="str">
        <f>IF(TITLE_DATE_PR_CHANGE="",IF(TITLE_DATE_PR="","",TITLE_DATE_PR),TITLE_DATE_PR_CHANGE)</f>
        <v>46141.35650462963</v>
      </c>
      <c r="W32" s="2266"/>
      <c r="X32" s="2266"/>
      <c r="Y32" s="2266"/>
      <c r="Z32" s="2266"/>
      <c r="AA32" s="2266"/>
      <c r="AB32" s="328"/>
      <c r="AC32" s="2266" t="str">
        <f>IF(TITLE_DATE_PR_CHANGE="",IF(TITLE_DATE_PR="","",TITLE_DATE_PR),TITLE_DATE_PR_CHANGE)</f>
        <v>46141.35650462963</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432</v>
      </c>
      <c r="T33" s="2252"/>
      <c r="U33" s="1374"/>
      <c r="V33" s="2253" t="str">
        <f>IF(TITLE_NUMBER_PR_CHANGE="",IF(TITLE_NUMBER_PR="","",TITLE_NUMBER_PR),TITLE_NUMBER_PR_CHANGE)</f>
        <v>вх. О-1106 (исх. №382 от 29.04.2026)</v>
      </c>
      <c r="W33" s="2253"/>
      <c r="X33" s="2253"/>
      <c r="Y33" s="2253"/>
      <c r="Z33" s="2253"/>
      <c r="AA33" s="2253"/>
      <c r="AB33" s="328"/>
      <c r="AC33" s="2253" t="str">
        <f>IF(TITLE_NUMBER_PR_CHANGE="",IF(TITLE_NUMBER_PR="","",TITLE_NUMBER_PR),TITLE_NUMBER_PR_CHANGE)</f>
        <v>вх. О-1106 (исх. №382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433</v>
      </c>
      <c r="AC34" s="328"/>
      <c r="AD34" s="328"/>
      <c r="AE34" s="328"/>
      <c r="AF34" s="328"/>
      <c r="AG34" s="328"/>
      <c r="AH34" s="328"/>
      <c r="AI34" s="280" t="s">
        <v>433</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309</v>
      </c>
      <c r="T36" s="2129"/>
      <c r="U36" s="2129"/>
      <c r="V36" s="2129"/>
      <c r="W36" s="2129"/>
      <c r="X36" s="2129"/>
      <c r="Y36" s="2129"/>
      <c r="Z36" s="2129"/>
      <c r="AA36" s="2129"/>
      <c r="AB36" s="2129"/>
      <c r="AC36" s="2129"/>
      <c r="AD36" s="2129"/>
      <c r="AE36" s="2129"/>
      <c r="AF36" s="2129"/>
      <c r="AG36" s="2129"/>
      <c r="AH36" s="2129"/>
      <c r="AI36" s="2129"/>
      <c r="AJ36" s="2129"/>
      <c r="AK36" s="2129" t="s">
        <v>310</v>
      </c>
      <c r="AQ36" s="1157">
        <v>14</v>
      </c>
    </row>
    <row customHeight="1" ht="15">
      <c r="Q37" s="378"/>
      <c r="R37" s="378"/>
      <c r="S37" s="2275" t="s">
        <v>90</v>
      </c>
      <c r="T37" s="2211" t="s">
        <v>434</v>
      </c>
      <c r="U37" s="303"/>
      <c r="V37" s="2276" t="s">
        <v>435</v>
      </c>
      <c r="W37" s="2277"/>
      <c r="X37" s="2277"/>
      <c r="Y37" s="2277"/>
      <c r="Z37" s="2277"/>
      <c r="AA37" s="2278"/>
      <c r="AB37" s="2279" t="s">
        <v>436</v>
      </c>
      <c r="AC37" s="2276" t="s">
        <v>435</v>
      </c>
      <c r="AD37" s="2277"/>
      <c r="AE37" s="2277"/>
      <c r="AF37" s="2277"/>
      <c r="AG37" s="2277"/>
      <c r="AH37" s="2278"/>
      <c r="AI37" s="2279" t="s">
        <v>437</v>
      </c>
      <c r="AJ37" s="2282" t="s">
        <v>438</v>
      </c>
      <c r="AK37" s="2129"/>
      <c r="AQ37" s="1157">
        <v>14</v>
      </c>
    </row>
    <row customHeight="1" ht="36">
      <c r="Q38" s="378"/>
      <c r="R38" s="378"/>
      <c r="S38" s="2275"/>
      <c r="T38" s="2211"/>
      <c r="U38" s="1033"/>
      <c r="V38" s="1485" t="s">
        <v>497</v>
      </c>
      <c r="W38" s="2264" t="s">
        <v>441</v>
      </c>
      <c r="X38" s="2265"/>
      <c r="Y38" s="2264" t="s">
        <v>442</v>
      </c>
      <c r="Z38" s="2271"/>
      <c r="AA38" s="2265"/>
      <c r="AB38" s="2280"/>
      <c r="AC38" s="1485" t="s">
        <v>497</v>
      </c>
      <c r="AD38" s="2264" t="s">
        <v>441</v>
      </c>
      <c r="AE38" s="2265"/>
      <c r="AF38" s="2264" t="s">
        <v>442</v>
      </c>
      <c r="AG38" s="2271"/>
      <c r="AH38" s="2265"/>
      <c r="AI38" s="2280"/>
      <c r="AJ38" s="2283"/>
      <c r="AK38" s="2129"/>
      <c r="AQ38" s="1157">
        <v>34</v>
      </c>
    </row>
    <row customHeight="1" ht="90">
      <c r="A39" s="1372"/>
      <c r="B39" s="1372" t="s">
        <v>137</v>
      </c>
      <c r="C39" s="1372" t="s">
        <v>138</v>
      </c>
      <c r="D39" s="1372" t="s">
        <v>139</v>
      </c>
      <c r="E39" s="1366" t="s">
        <v>443</v>
      </c>
      <c r="F39" s="1366" t="s">
        <v>444</v>
      </c>
      <c r="G39" s="1366" t="s">
        <v>445</v>
      </c>
      <c r="H39" s="1366"/>
      <c r="I39" s="1366" t="s">
        <v>498</v>
      </c>
      <c r="J39" s="1366" t="s">
        <v>448</v>
      </c>
      <c r="K39" s="1366" t="s">
        <v>499</v>
      </c>
      <c r="L39" s="1366" t="s">
        <v>424</v>
      </c>
      <c r="Q39" s="378"/>
      <c r="R39" s="378"/>
      <c r="S39" s="2275"/>
      <c r="T39" s="2211"/>
      <c r="U39" s="304"/>
      <c r="V39" s="1485" t="s">
        <v>526</v>
      </c>
      <c r="W39" s="1224" t="s">
        <v>527</v>
      </c>
      <c r="X39" s="1224" t="s">
        <v>502</v>
      </c>
      <c r="Y39" s="1491" t="s">
        <v>452</v>
      </c>
      <c r="Z39" s="2272" t="s">
        <v>453</v>
      </c>
      <c r="AA39" s="2273"/>
      <c r="AB39" s="2281"/>
      <c r="AC39" s="1485" t="s">
        <v>526</v>
      </c>
      <c r="AD39" s="1224" t="s">
        <v>527</v>
      </c>
      <c r="AE39" s="1224" t="s">
        <v>502</v>
      </c>
      <c r="AF39" s="1491" t="s">
        <v>452</v>
      </c>
      <c r="AG39" s="2272" t="s">
        <v>453</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111</v>
      </c>
      <c r="T40" s="1257" t="s">
        <v>112</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275</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275</v>
      </c>
      <c r="B42" s="1365" t="s">
        <v>276</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406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407</v>
      </c>
      <c r="AM42" s="502"/>
      <c r="AN42" s="502" t="str">
        <f>IF(T42="","",T42)</f>
        <v>Территория действия тарифа</v>
      </c>
      <c r="AO42" s="502"/>
      <c r="AP42" s="502"/>
      <c r="AQ42" s="1157">
        <v>23</v>
      </c>
    </row>
    <row customHeight="1" ht="24">
      <c r="A43" s="1365" t="s">
        <v>275</v>
      </c>
      <c r="B43" s="1365" t="s">
        <v>276</v>
      </c>
      <c r="C43" s="1365" t="s">
        <v>277</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524</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525</v>
      </c>
      <c r="AM43" s="502"/>
      <c r="AN43" s="502" t="str">
        <f>IF(T43="","",T43)</f>
        <v>Наименование централизованной системы водоотведения</v>
      </c>
      <c r="AO43" s="502"/>
      <c r="AP43" s="502"/>
      <c r="AQ43" s="1157">
        <v>23</v>
      </c>
    </row>
    <row customHeight="1" ht="24">
      <c r="A44" s="1365" t="s">
        <v>275</v>
      </c>
      <c r="B44" s="1365" t="s">
        <v>276</v>
      </c>
      <c r="C44" s="1365" t="s">
        <v>277</v>
      </c>
      <c r="D44" s="1365" t="s">
        <v>528</v>
      </c>
      <c r="E44" s="2261"/>
      <c r="F44" s="2261"/>
      <c r="G44" s="2261"/>
      <c r="H44" s="2261"/>
      <c r="I44" s="2258" t="str">
        <f>S43&amp;".1"</f>
        <v>...1</v>
      </c>
      <c r="J44" s="1365"/>
      <c r="K44" s="1365"/>
      <c r="L44" s="1366"/>
      <c r="P44" s="2259">
        <v>1</v>
      </c>
      <c r="Q44" s="1483"/>
      <c r="R44" s="358"/>
      <c r="S44" s="1495" t="str">
        <f>$I44</f>
        <v>...1</v>
      </c>
      <c r="T44" s="287" t="s">
        <v>491</v>
      </c>
      <c r="U44" s="302"/>
      <c r="V44" s="2352"/>
      <c r="W44" s="2353"/>
      <c r="X44" s="2353"/>
      <c r="Y44" s="2353"/>
      <c r="Z44" s="2353"/>
      <c r="AA44" s="2353"/>
      <c r="AB44" s="2354"/>
      <c r="AC44" s="2355"/>
      <c r="AD44" s="2356"/>
      <c r="AE44" s="2356"/>
      <c r="AF44" s="2356"/>
      <c r="AG44" s="2356"/>
      <c r="AH44" s="2356"/>
      <c r="AI44" s="2356"/>
      <c r="AJ44" s="2357"/>
      <c r="AK44" s="1260" t="s">
        <v>492</v>
      </c>
      <c r="AM44" s="502"/>
      <c r="AN44" s="502" t="str">
        <f>IF(T44="","",T44)</f>
        <v>Наименование признака дифференциации</v>
      </c>
      <c r="AO44" s="502"/>
      <c r="AP44" s="502"/>
      <c r="AQ44" s="1157">
        <v>23</v>
      </c>
    </row>
    <row customHeight="1" ht="24">
      <c r="A45" s="1365" t="s">
        <v>275</v>
      </c>
      <c r="B45" s="1365" t="s">
        <v>276</v>
      </c>
      <c r="C45" s="1365" t="s">
        <v>277</v>
      </c>
      <c r="D45" s="1365" t="s">
        <v>528</v>
      </c>
      <c r="E45" s="2261"/>
      <c r="F45" s="2261"/>
      <c r="G45" s="2261"/>
      <c r="H45" s="2261"/>
      <c r="I45" s="2288"/>
      <c r="J45" s="2258" t="str">
        <f>I44&amp;".1"</f>
        <v>...1.1</v>
      </c>
      <c r="K45" s="1365"/>
      <c r="L45" s="1366" t="s">
        <v>415</v>
      </c>
      <c r="P45" s="2259"/>
      <c r="Q45" s="2259">
        <v>1</v>
      </c>
      <c r="R45" s="359"/>
      <c r="S45" s="1495" t="str">
        <f>$J45</f>
        <v>...1.1</v>
      </c>
      <c r="T45" s="288" t="s">
        <v>416</v>
      </c>
      <c r="U45" s="302"/>
      <c r="V45" s="2247"/>
      <c r="W45" s="2248"/>
      <c r="X45" s="2248"/>
      <c r="Y45" s="2248"/>
      <c r="Z45" s="2248"/>
      <c r="AA45" s="2248"/>
      <c r="AB45" s="2249"/>
      <c r="AC45" s="2247"/>
      <c r="AD45" s="2248"/>
      <c r="AE45" s="2248"/>
      <c r="AF45" s="2248"/>
      <c r="AG45" s="2248"/>
      <c r="AH45" s="2248"/>
      <c r="AI45" s="2248"/>
      <c r="AJ45" s="2249"/>
      <c r="AK45" s="1309" t="s">
        <v>493</v>
      </c>
      <c r="AM45" s="502"/>
      <c r="AN45" s="502" t="str">
        <f>IF(T45="","",T45)</f>
        <v>Группа потребителей</v>
      </c>
      <c r="AO45" s="502"/>
      <c r="AP45" s="502"/>
      <c r="AQ45" s="1157">
        <v>23</v>
      </c>
    </row>
    <row customHeight="1" ht="24">
      <c r="A46" s="1365" t="s">
        <v>275</v>
      </c>
      <c r="B46" s="1365" t="s">
        <v>276</v>
      </c>
      <c r="C46" s="1365" t="s">
        <v>277</v>
      </c>
      <c r="D46" s="1365" t="s">
        <v>528</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68</v>
      </c>
      <c r="AA46" s="2269"/>
      <c r="AB46" s="2270" t="s">
        <v>68</v>
      </c>
      <c r="AC46" s="753"/>
      <c r="AD46" s="753"/>
      <c r="AE46" s="1259"/>
      <c r="AF46" s="2267"/>
      <c r="AG46" s="2109" t="s">
        <v>68</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275</v>
      </c>
      <c r="B47" s="1365" t="s">
        <v>276</v>
      </c>
      <c r="C47" s="1365" t="s">
        <v>277</v>
      </c>
      <c r="D47" s="1365" t="s">
        <v>528</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275</v>
      </c>
      <c r="B48" s="1365" t="s">
        <v>276</v>
      </c>
      <c r="C48" s="1365" t="s">
        <v>277</v>
      </c>
      <c r="D48" s="1365" t="s">
        <v>528</v>
      </c>
      <c r="E48" s="2261"/>
      <c r="F48" s="2261"/>
      <c r="G48" s="2261"/>
      <c r="H48" s="2261"/>
      <c r="I48" s="2288"/>
      <c r="J48" s="2258"/>
      <c r="K48" s="1365"/>
      <c r="L48" s="1366"/>
      <c r="P48" s="2259"/>
      <c r="Q48" s="2259"/>
      <c r="R48" s="358"/>
      <c r="S48" s="1280"/>
      <c r="T48" s="289" t="s">
        <v>494</v>
      </c>
      <c r="U48" s="369"/>
      <c r="V48" s="369"/>
      <c r="W48" s="369"/>
      <c r="X48" s="369"/>
      <c r="Y48" s="369"/>
      <c r="Z48" s="369"/>
      <c r="AA48" s="369"/>
      <c r="AB48" s="369"/>
      <c r="AC48" s="369"/>
      <c r="AD48" s="369"/>
      <c r="AE48" s="369"/>
      <c r="AF48" s="369"/>
      <c r="AG48" s="369"/>
      <c r="AH48" s="369"/>
      <c r="AI48" s="369"/>
      <c r="AJ48" s="369"/>
      <c r="AK48" s="1260" t="s">
        <v>495</v>
      </c>
      <c r="AM48" s="502"/>
      <c r="AN48" s="502" t="str">
        <f>IF(T48="","",T48)</f>
        <v>Добавить значение признака дифференциации</v>
      </c>
      <c r="AO48" s="502"/>
      <c r="AP48" s="502"/>
      <c r="AQ48" s="1157">
        <v>20</v>
      </c>
    </row>
    <row customHeight="1" ht="21.75">
      <c r="A49" s="1365" t="s">
        <v>275</v>
      </c>
      <c r="B49" s="1365" t="s">
        <v>276</v>
      </c>
      <c r="C49" s="1365" t="s">
        <v>277</v>
      </c>
      <c r="D49" s="1365" t="s">
        <v>528</v>
      </c>
      <c r="E49" s="2261"/>
      <c r="F49" s="2261"/>
      <c r="G49" s="2261"/>
      <c r="H49" s="2261"/>
      <c r="I49" s="2258"/>
      <c r="J49" s="1365"/>
      <c r="K49" s="1365"/>
      <c r="L49" s="1366"/>
      <c r="P49" s="2259"/>
      <c r="Q49" s="1483"/>
      <c r="R49" s="358"/>
      <c r="S49" s="1280"/>
      <c r="T49" s="367" t="s">
        <v>421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275</v>
      </c>
      <c r="B50" s="1365" t="s">
        <v>276</v>
      </c>
      <c r="C50" s="1365" t="s">
        <v>277</v>
      </c>
      <c r="D50" s="1365" t="s">
        <v>528</v>
      </c>
      <c r="E50" s="2261"/>
      <c r="F50" s="2261"/>
      <c r="G50" s="2261"/>
      <c r="H50" s="2260"/>
      <c r="I50" s="1365"/>
      <c r="J50" s="1365"/>
      <c r="K50" s="1365"/>
      <c r="L50" s="1366"/>
      <c r="M50" s="1367"/>
      <c r="N50" s="1367"/>
      <c r="O50" s="539"/>
      <c r="P50" s="362"/>
      <c r="Q50" s="377"/>
      <c r="R50" s="357"/>
      <c r="S50" s="1280"/>
      <c r="T50" s="374" t="s">
        <v>496</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275</v>
      </c>
      <c r="B51" s="1345" t="s">
        <v>276</v>
      </c>
      <c r="C51" s="1316"/>
      <c r="D51" s="1316"/>
      <c r="E51" s="2261"/>
      <c r="F51" s="2260"/>
      <c r="G51" s="1316"/>
      <c r="H51" s="1316"/>
      <c r="I51" s="1316"/>
      <c r="J51" s="1316"/>
      <c r="K51" s="1316"/>
      <c r="L51" s="1496"/>
      <c r="M51" s="1323"/>
      <c r="N51" s="1323"/>
      <c r="P51" s="1318"/>
      <c r="Q51" s="1319"/>
      <c r="R51" s="1318"/>
      <c r="S51" s="1324"/>
      <c r="T51" s="1327" t="s">
        <v>173</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275</v>
      </c>
      <c r="B52" s="1345"/>
      <c r="C52" s="1345"/>
      <c r="D52" s="1345"/>
      <c r="E52" s="2260"/>
      <c r="F52" s="1345"/>
      <c r="G52" s="1345"/>
      <c r="H52" s="1345"/>
      <c r="I52" s="1345"/>
      <c r="J52" s="1345"/>
      <c r="K52" s="1345"/>
      <c r="L52" s="1348"/>
      <c r="M52" s="1323"/>
      <c r="N52" s="1323"/>
      <c r="O52" s="520"/>
      <c r="P52" s="382"/>
      <c r="Q52" s="1346"/>
      <c r="R52" s="382"/>
      <c r="S52" s="1324"/>
      <c r="T52" s="1327" t="s">
        <v>174</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175</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84</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276ACF-5139-E159-D701-0.3C7546A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524</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525</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491</v>
      </c>
      <c r="U5" s="302"/>
      <c r="V5" s="2352"/>
      <c r="W5" s="2353"/>
      <c r="X5" s="2353"/>
      <c r="Y5" s="2353"/>
      <c r="Z5" s="2353"/>
      <c r="AA5" s="2353"/>
      <c r="AB5" s="2354"/>
      <c r="AC5" s="2355"/>
      <c r="AD5" s="2356"/>
      <c r="AE5" s="2356"/>
      <c r="AF5" s="2356"/>
      <c r="AG5" s="2356"/>
      <c r="AH5" s="2356"/>
      <c r="AI5" s="2356"/>
      <c r="AJ5" s="2357"/>
      <c r="AK5" s="1260" t="s">
        <v>492</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415</v>
      </c>
      <c r="P6" s="2259"/>
      <c r="Q6" s="2259">
        <v>1</v>
      </c>
      <c r="R6" s="359"/>
      <c r="S6" s="1495">
        <f>$J6</f>
      </c>
      <c r="T6" s="288" t="s">
        <v>416</v>
      </c>
      <c r="U6" s="302"/>
      <c r="V6" s="2247"/>
      <c r="W6" s="2248"/>
      <c r="X6" s="2248"/>
      <c r="Y6" s="2248"/>
      <c r="Z6" s="2248"/>
      <c r="AA6" s="2248"/>
      <c r="AB6" s="2249"/>
      <c r="AC6" s="2247"/>
      <c r="AD6" s="2248"/>
      <c r="AE6" s="2248"/>
      <c r="AF6" s="2248"/>
      <c r="AG6" s="2248"/>
      <c r="AH6" s="2248"/>
      <c r="AI6" s="2248"/>
      <c r="AJ6" s="2249"/>
      <c r="AK6" s="1309" t="s">
        <v>493</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68</v>
      </c>
      <c r="AA7" s="2267"/>
      <c r="AB7" s="2109" t="s">
        <v>68</v>
      </c>
      <c r="AC7" s="753"/>
      <c r="AD7" s="753"/>
      <c r="AE7" s="1259"/>
      <c r="AF7" s="2267"/>
      <c r="AG7" s="2109" t="s">
        <v>68</v>
      </c>
      <c r="AH7" s="2289"/>
      <c r="AI7" s="2109" t="s">
        <v>68</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494</v>
      </c>
      <c r="U9" s="369"/>
      <c r="V9" s="369"/>
      <c r="W9" s="369"/>
      <c r="X9" s="369"/>
      <c r="Y9" s="369"/>
      <c r="Z9" s="369"/>
      <c r="AA9" s="369"/>
      <c r="AB9" s="369"/>
      <c r="AC9" s="369"/>
      <c r="AD9" s="369"/>
      <c r="AE9" s="369"/>
      <c r="AF9" s="369"/>
      <c r="AG9" s="369"/>
      <c r="AH9" s="369"/>
      <c r="AI9" s="369"/>
      <c r="AJ9" s="369"/>
      <c r="AK9" s="1260" t="s">
        <v>495</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421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496</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173</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174</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68</v>
      </c>
      <c r="AH15" s="2269"/>
      <c r="AI15" s="2270" t="s">
        <v>68</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423</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424</v>
      </c>
      <c r="P20" s="1364"/>
      <c r="Q20" s="1444"/>
      <c r="R20" s="1444"/>
      <c r="S20" s="731"/>
      <c r="T20" s="1162" t="s">
        <v>425</v>
      </c>
      <c r="Z20" s="188" t="s">
        <v>426</v>
      </c>
      <c r="AB20" s="188" t="s">
        <v>427</v>
      </c>
      <c r="AC20" s="1162" t="s">
        <v>425</v>
      </c>
      <c r="AG20" s="188" t="s">
        <v>428</v>
      </c>
      <c r="AI20" s="188" t="s">
        <v>427</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43</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429</v>
      </c>
      <c r="T28" s="2252"/>
      <c r="U28" s="1374"/>
      <c r="V28" s="2266" t="str">
        <f>IF(TITLE_DATE_PR_CHANGE="",IF(TITLE_DATE_PR="","",TITLE_DATE_PR),TITLE_DATE_PR_CHANGE)</f>
        <v>46141.35650462963</v>
      </c>
      <c r="W28" s="2266"/>
      <c r="X28" s="2266"/>
      <c r="Y28" s="2266"/>
      <c r="Z28" s="2266"/>
      <c r="AA28" s="2266"/>
      <c r="AB28" s="328"/>
      <c r="AC28" s="2266" t="str">
        <f>IF(TITLE_DATE_PR_CHANGE="",IF(TITLE_DATE_PR="","",TITLE_DATE_PR),TITLE_DATE_PR_CHANGE)</f>
        <v>46141.35650462963</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430</v>
      </c>
      <c r="T29" s="2252"/>
      <c r="U29" s="1374"/>
      <c r="V29" s="2253" t="str">
        <f>IF(TITLE_NUMBER_PR_CHANGE="",IF(TITLE_NUMBER_PR="","",TITLE_NUMBER_PR),TITLE_NUMBER_PR_CHANGE)</f>
        <v>вх. О-1106 (исх. №382 от 29.04.2026)</v>
      </c>
      <c r="W29" s="2253"/>
      <c r="X29" s="2253"/>
      <c r="Y29" s="2253"/>
      <c r="Z29" s="2253"/>
      <c r="AA29" s="2253"/>
      <c r="AB29" s="328"/>
      <c r="AC29" s="2253" t="str">
        <f>IF(TITLE_NUMBER_PR_CHANGE="",IF(TITLE_NUMBER_PR="","",TITLE_NUMBER_PR),TITLE_NUMBER_PR_CHANGE)</f>
        <v>вх. О-1106 (исх. №382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44</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431</v>
      </c>
      <c r="T32" s="2252"/>
      <c r="U32" s="1374"/>
      <c r="V32" s="2266" t="str">
        <f>IF(TITLE_DATE_PR_CHANGE="",IF(TITLE_DATE_PR="","",TITLE_DATE_PR),TITLE_DATE_PR_CHANGE)</f>
        <v>46141.35650462963</v>
      </c>
      <c r="W32" s="2266"/>
      <c r="X32" s="2266"/>
      <c r="Y32" s="2266"/>
      <c r="Z32" s="2266"/>
      <c r="AA32" s="2266"/>
      <c r="AB32" s="328"/>
      <c r="AC32" s="2266" t="str">
        <f>IF(TITLE_DATE_PR_CHANGE="",IF(TITLE_DATE_PR="","",TITLE_DATE_PR),TITLE_DATE_PR_CHANGE)</f>
        <v>46141.35650462963</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432</v>
      </c>
      <c r="T33" s="2252"/>
      <c r="U33" s="1374"/>
      <c r="V33" s="2253" t="str">
        <f>IF(TITLE_NUMBER_PR_CHANGE="",IF(TITLE_NUMBER_PR="","",TITLE_NUMBER_PR),TITLE_NUMBER_PR_CHANGE)</f>
        <v>вх. О-1106 (исх. №382 от 29.04.2026)</v>
      </c>
      <c r="W33" s="2253"/>
      <c r="X33" s="2253"/>
      <c r="Y33" s="2253"/>
      <c r="Z33" s="2253"/>
      <c r="AA33" s="2253"/>
      <c r="AB33" s="328"/>
      <c r="AC33" s="2253" t="str">
        <f>IF(TITLE_NUMBER_PR_CHANGE="",IF(TITLE_NUMBER_PR="","",TITLE_NUMBER_PR),TITLE_NUMBER_PR_CHANGE)</f>
        <v>вх. О-1106 (исх. №382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433</v>
      </c>
      <c r="AC34" s="328"/>
      <c r="AD34" s="328"/>
      <c r="AE34" s="328"/>
      <c r="AF34" s="328"/>
      <c r="AG34" s="328"/>
      <c r="AH34" s="328"/>
      <c r="AI34" s="280" t="s">
        <v>433</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309</v>
      </c>
      <c r="T36" s="2129"/>
      <c r="U36" s="2129"/>
      <c r="V36" s="2129"/>
      <c r="W36" s="2129"/>
      <c r="X36" s="2129"/>
      <c r="Y36" s="2129"/>
      <c r="Z36" s="2129"/>
      <c r="AA36" s="2129"/>
      <c r="AB36" s="2129"/>
      <c r="AC36" s="2129"/>
      <c r="AD36" s="2129"/>
      <c r="AE36" s="2129"/>
      <c r="AF36" s="2129"/>
      <c r="AG36" s="2129"/>
      <c r="AH36" s="2129"/>
      <c r="AI36" s="2129"/>
      <c r="AJ36" s="2129"/>
      <c r="AK36" s="2129" t="s">
        <v>310</v>
      </c>
      <c r="AQ36" s="1157">
        <v>14</v>
      </c>
    </row>
    <row customHeight="1" ht="15">
      <c r="Q37" s="378"/>
      <c r="R37" s="378"/>
      <c r="S37" s="2275" t="s">
        <v>90</v>
      </c>
      <c r="T37" s="2211" t="s">
        <v>434</v>
      </c>
      <c r="U37" s="303"/>
      <c r="V37" s="2276" t="s">
        <v>435</v>
      </c>
      <c r="W37" s="2277"/>
      <c r="X37" s="2277"/>
      <c r="Y37" s="2277"/>
      <c r="Z37" s="2277"/>
      <c r="AA37" s="2278"/>
      <c r="AB37" s="2279" t="s">
        <v>436</v>
      </c>
      <c r="AC37" s="2276" t="s">
        <v>435</v>
      </c>
      <c r="AD37" s="2277"/>
      <c r="AE37" s="2277"/>
      <c r="AF37" s="2277"/>
      <c r="AG37" s="2277"/>
      <c r="AH37" s="2278"/>
      <c r="AI37" s="2279" t="s">
        <v>437</v>
      </c>
      <c r="AJ37" s="2282" t="s">
        <v>438</v>
      </c>
      <c r="AK37" s="2129"/>
      <c r="AQ37" s="1157">
        <v>14</v>
      </c>
    </row>
    <row customHeight="1" ht="36">
      <c r="Q38" s="378"/>
      <c r="R38" s="378"/>
      <c r="S38" s="2275"/>
      <c r="T38" s="2211"/>
      <c r="U38" s="1033"/>
      <c r="V38" s="1485" t="s">
        <v>497</v>
      </c>
      <c r="W38" s="2264" t="s">
        <v>441</v>
      </c>
      <c r="X38" s="2265"/>
      <c r="Y38" s="2264" t="s">
        <v>442</v>
      </c>
      <c r="Z38" s="2271"/>
      <c r="AA38" s="2265"/>
      <c r="AB38" s="2280"/>
      <c r="AC38" s="1485" t="s">
        <v>497</v>
      </c>
      <c r="AD38" s="2264" t="s">
        <v>441</v>
      </c>
      <c r="AE38" s="2265"/>
      <c r="AF38" s="2264" t="s">
        <v>442</v>
      </c>
      <c r="AG38" s="2271"/>
      <c r="AH38" s="2265"/>
      <c r="AI38" s="2280"/>
      <c r="AJ38" s="2283"/>
      <c r="AK38" s="2129"/>
      <c r="AQ38" s="1157">
        <v>34</v>
      </c>
    </row>
    <row customHeight="1" ht="90">
      <c r="A39" s="1372"/>
      <c r="B39" s="1372" t="s">
        <v>137</v>
      </c>
      <c r="C39" s="1372" t="s">
        <v>138</v>
      </c>
      <c r="D39" s="1372" t="s">
        <v>139</v>
      </c>
      <c r="E39" s="1366" t="s">
        <v>443</v>
      </c>
      <c r="F39" s="1366" t="s">
        <v>444</v>
      </c>
      <c r="G39" s="1366" t="s">
        <v>445</v>
      </c>
      <c r="H39" s="1366"/>
      <c r="I39" s="1366" t="s">
        <v>498</v>
      </c>
      <c r="J39" s="1366" t="s">
        <v>448</v>
      </c>
      <c r="K39" s="1366" t="s">
        <v>499</v>
      </c>
      <c r="L39" s="1366" t="s">
        <v>424</v>
      </c>
      <c r="Q39" s="378"/>
      <c r="R39" s="378"/>
      <c r="S39" s="2275"/>
      <c r="T39" s="2211"/>
      <c r="U39" s="304"/>
      <c r="V39" s="1485" t="s">
        <v>526</v>
      </c>
      <c r="W39" s="1224" t="s">
        <v>527</v>
      </c>
      <c r="X39" s="1224" t="s">
        <v>502</v>
      </c>
      <c r="Y39" s="1491" t="s">
        <v>452</v>
      </c>
      <c r="Z39" s="2272" t="s">
        <v>453</v>
      </c>
      <c r="AA39" s="2273"/>
      <c r="AB39" s="2281"/>
      <c r="AC39" s="1485" t="s">
        <v>526</v>
      </c>
      <c r="AD39" s="1224" t="s">
        <v>527</v>
      </c>
      <c r="AE39" s="1224" t="s">
        <v>502</v>
      </c>
      <c r="AF39" s="1491" t="s">
        <v>452</v>
      </c>
      <c r="AG39" s="2272" t="s">
        <v>453</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111</v>
      </c>
      <c r="T40" s="1257" t="s">
        <v>112</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280</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280</v>
      </c>
      <c r="B42" s="1365" t="s">
        <v>281</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406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407</v>
      </c>
      <c r="AM42" s="502"/>
      <c r="AN42" s="502" t="str">
        <f>IF(T42="","",T42)</f>
        <v>Территория действия тарифа</v>
      </c>
      <c r="AO42" s="502"/>
      <c r="AP42" s="502"/>
      <c r="AQ42" s="1157">
        <v>23</v>
      </c>
    </row>
    <row customHeight="1" ht="24">
      <c r="A43" s="1365" t="s">
        <v>280</v>
      </c>
      <c r="B43" s="1365" t="s">
        <v>281</v>
      </c>
      <c r="C43" s="1365" t="s">
        <v>282</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524</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525</v>
      </c>
      <c r="AM43" s="502"/>
      <c r="AN43" s="502" t="str">
        <f>IF(T43="","",T43)</f>
        <v>Наименование централизованной системы водоотведения</v>
      </c>
      <c r="AO43" s="502"/>
      <c r="AP43" s="502"/>
      <c r="AQ43" s="1157">
        <v>23</v>
      </c>
    </row>
    <row customHeight="1" ht="24">
      <c r="A44" s="1365" t="s">
        <v>280</v>
      </c>
      <c r="B44" s="1365" t="s">
        <v>281</v>
      </c>
      <c r="C44" s="1365" t="s">
        <v>282</v>
      </c>
      <c r="D44" s="1365" t="s">
        <v>529</v>
      </c>
      <c r="E44" s="2261"/>
      <c r="F44" s="2261"/>
      <c r="G44" s="2261"/>
      <c r="H44" s="2261"/>
      <c r="I44" s="2258" t="str">
        <f>S43&amp;".1"</f>
        <v>...1</v>
      </c>
      <c r="J44" s="1365"/>
      <c r="K44" s="1365"/>
      <c r="L44" s="1366"/>
      <c r="P44" s="2259">
        <v>1</v>
      </c>
      <c r="Q44" s="1483"/>
      <c r="R44" s="358"/>
      <c r="S44" s="1495" t="str">
        <f>$I44</f>
        <v>...1</v>
      </c>
      <c r="T44" s="287" t="s">
        <v>491</v>
      </c>
      <c r="U44" s="302"/>
      <c r="V44" s="2352"/>
      <c r="W44" s="2353"/>
      <c r="X44" s="2353"/>
      <c r="Y44" s="2353"/>
      <c r="Z44" s="2353"/>
      <c r="AA44" s="2353"/>
      <c r="AB44" s="2354"/>
      <c r="AC44" s="2355"/>
      <c r="AD44" s="2356"/>
      <c r="AE44" s="2356"/>
      <c r="AF44" s="2356"/>
      <c r="AG44" s="2356"/>
      <c r="AH44" s="2356"/>
      <c r="AI44" s="2356"/>
      <c r="AJ44" s="2357"/>
      <c r="AK44" s="1260" t="s">
        <v>492</v>
      </c>
      <c r="AM44" s="502"/>
      <c r="AN44" s="502" t="str">
        <f>IF(T44="","",T44)</f>
        <v>Наименование признака дифференциации</v>
      </c>
      <c r="AO44" s="502"/>
      <c r="AP44" s="502"/>
      <c r="AQ44" s="1157">
        <v>23</v>
      </c>
    </row>
    <row customHeight="1" ht="24">
      <c r="A45" s="1365" t="s">
        <v>280</v>
      </c>
      <c r="B45" s="1365" t="s">
        <v>281</v>
      </c>
      <c r="C45" s="1365" t="s">
        <v>282</v>
      </c>
      <c r="D45" s="1365" t="s">
        <v>529</v>
      </c>
      <c r="E45" s="2261"/>
      <c r="F45" s="2261"/>
      <c r="G45" s="2261"/>
      <c r="H45" s="2261"/>
      <c r="I45" s="2288"/>
      <c r="J45" s="2258" t="str">
        <f>I44&amp;".1"</f>
        <v>...1.1</v>
      </c>
      <c r="K45" s="1365"/>
      <c r="L45" s="1366" t="s">
        <v>415</v>
      </c>
      <c r="P45" s="2259"/>
      <c r="Q45" s="2259">
        <v>1</v>
      </c>
      <c r="R45" s="359"/>
      <c r="S45" s="1495" t="str">
        <f>$J45</f>
        <v>...1.1</v>
      </c>
      <c r="T45" s="288" t="s">
        <v>416</v>
      </c>
      <c r="U45" s="302"/>
      <c r="V45" s="2247"/>
      <c r="W45" s="2248"/>
      <c r="X45" s="2248"/>
      <c r="Y45" s="2248"/>
      <c r="Z45" s="2248"/>
      <c r="AA45" s="2248"/>
      <c r="AB45" s="2249"/>
      <c r="AC45" s="2247"/>
      <c r="AD45" s="2248"/>
      <c r="AE45" s="2248"/>
      <c r="AF45" s="2248"/>
      <c r="AG45" s="2248"/>
      <c r="AH45" s="2248"/>
      <c r="AI45" s="2248"/>
      <c r="AJ45" s="2249"/>
      <c r="AK45" s="1309" t="s">
        <v>493</v>
      </c>
      <c r="AM45" s="502"/>
      <c r="AN45" s="502" t="str">
        <f>IF(T45="","",T45)</f>
        <v>Группа потребителей</v>
      </c>
      <c r="AO45" s="502"/>
      <c r="AP45" s="502"/>
      <c r="AQ45" s="1157">
        <v>23</v>
      </c>
    </row>
    <row customHeight="1" ht="24">
      <c r="A46" s="1365" t="s">
        <v>280</v>
      </c>
      <c r="B46" s="1365" t="s">
        <v>281</v>
      </c>
      <c r="C46" s="1365" t="s">
        <v>282</v>
      </c>
      <c r="D46" s="1365" t="s">
        <v>529</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68</v>
      </c>
      <c r="AA46" s="2269"/>
      <c r="AB46" s="2270" t="s">
        <v>68</v>
      </c>
      <c r="AC46" s="753"/>
      <c r="AD46" s="753"/>
      <c r="AE46" s="1259"/>
      <c r="AF46" s="2267"/>
      <c r="AG46" s="2109" t="s">
        <v>68</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280</v>
      </c>
      <c r="B47" s="1365" t="s">
        <v>281</v>
      </c>
      <c r="C47" s="1365" t="s">
        <v>282</v>
      </c>
      <c r="D47" s="1365" t="s">
        <v>529</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280</v>
      </c>
      <c r="B48" s="1365" t="s">
        <v>281</v>
      </c>
      <c r="C48" s="1365" t="s">
        <v>282</v>
      </c>
      <c r="D48" s="1365" t="s">
        <v>529</v>
      </c>
      <c r="E48" s="2261"/>
      <c r="F48" s="2261"/>
      <c r="G48" s="2261"/>
      <c r="H48" s="2261"/>
      <c r="I48" s="2288"/>
      <c r="J48" s="2258"/>
      <c r="K48" s="1365"/>
      <c r="L48" s="1366"/>
      <c r="P48" s="2259"/>
      <c r="Q48" s="2259"/>
      <c r="R48" s="358"/>
      <c r="S48" s="1280"/>
      <c r="T48" s="289" t="s">
        <v>494</v>
      </c>
      <c r="U48" s="369"/>
      <c r="V48" s="369"/>
      <c r="W48" s="369"/>
      <c r="X48" s="369"/>
      <c r="Y48" s="369"/>
      <c r="Z48" s="369"/>
      <c r="AA48" s="369"/>
      <c r="AB48" s="369"/>
      <c r="AC48" s="369"/>
      <c r="AD48" s="369"/>
      <c r="AE48" s="369"/>
      <c r="AF48" s="369"/>
      <c r="AG48" s="369"/>
      <c r="AH48" s="369"/>
      <c r="AI48" s="369"/>
      <c r="AJ48" s="369"/>
      <c r="AK48" s="1260" t="s">
        <v>495</v>
      </c>
      <c r="AM48" s="502"/>
      <c r="AN48" s="502" t="str">
        <f>IF(T48="","",T48)</f>
        <v>Добавить значение признака дифференциации</v>
      </c>
      <c r="AO48" s="502"/>
      <c r="AP48" s="502"/>
      <c r="AQ48" s="1157">
        <v>20</v>
      </c>
    </row>
    <row customHeight="1" ht="21.75">
      <c r="A49" s="1365" t="s">
        <v>280</v>
      </c>
      <c r="B49" s="1365" t="s">
        <v>281</v>
      </c>
      <c r="C49" s="1365" t="s">
        <v>282</v>
      </c>
      <c r="D49" s="1365" t="s">
        <v>529</v>
      </c>
      <c r="E49" s="2261"/>
      <c r="F49" s="2261"/>
      <c r="G49" s="2261"/>
      <c r="H49" s="2261"/>
      <c r="I49" s="2258"/>
      <c r="J49" s="1365"/>
      <c r="K49" s="1365"/>
      <c r="L49" s="1366"/>
      <c r="P49" s="2259"/>
      <c r="Q49" s="1483"/>
      <c r="R49" s="358"/>
      <c r="S49" s="1280"/>
      <c r="T49" s="367" t="s">
        <v>421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280</v>
      </c>
      <c r="B50" s="1365" t="s">
        <v>281</v>
      </c>
      <c r="C50" s="1365" t="s">
        <v>282</v>
      </c>
      <c r="D50" s="1365" t="s">
        <v>529</v>
      </c>
      <c r="E50" s="2261"/>
      <c r="F50" s="2261"/>
      <c r="G50" s="2261"/>
      <c r="H50" s="2260"/>
      <c r="I50" s="1365"/>
      <c r="J50" s="1365"/>
      <c r="K50" s="1365"/>
      <c r="L50" s="1366"/>
      <c r="M50" s="1367"/>
      <c r="N50" s="1367"/>
      <c r="O50" s="539"/>
      <c r="P50" s="362"/>
      <c r="Q50" s="377"/>
      <c r="R50" s="357"/>
      <c r="S50" s="1280"/>
      <c r="T50" s="374" t="s">
        <v>496</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280</v>
      </c>
      <c r="B51" s="1345" t="s">
        <v>281</v>
      </c>
      <c r="C51" s="1316"/>
      <c r="D51" s="1316"/>
      <c r="E51" s="2261"/>
      <c r="F51" s="2260"/>
      <c r="G51" s="1316"/>
      <c r="H51" s="1316"/>
      <c r="I51" s="1316"/>
      <c r="J51" s="1316"/>
      <c r="K51" s="1316"/>
      <c r="L51" s="1496"/>
      <c r="M51" s="1323"/>
      <c r="N51" s="1323"/>
      <c r="P51" s="1318"/>
      <c r="Q51" s="1319"/>
      <c r="R51" s="1318"/>
      <c r="S51" s="1324"/>
      <c r="T51" s="1327" t="s">
        <v>173</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280</v>
      </c>
      <c r="B52" s="1345"/>
      <c r="C52" s="1345"/>
      <c r="D52" s="1345"/>
      <c r="E52" s="2260"/>
      <c r="F52" s="1345"/>
      <c r="G52" s="1345"/>
      <c r="H52" s="1345"/>
      <c r="I52" s="1345"/>
      <c r="J52" s="1345"/>
      <c r="K52" s="1345"/>
      <c r="L52" s="1348"/>
      <c r="M52" s="1323"/>
      <c r="N52" s="1323"/>
      <c r="O52" s="520"/>
      <c r="P52" s="382"/>
      <c r="Q52" s="1346"/>
      <c r="R52" s="382"/>
      <c r="S52" s="1324"/>
      <c r="T52" s="1327" t="s">
        <v>174</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175</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84</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AE5CC31-B264-E09D-9A14-0.84015994}"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406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407</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524</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525</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411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412</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68</v>
      </c>
      <c r="AB8" s="1736"/>
      <c r="AC8" s="1471" t="s">
        <v>68</v>
      </c>
      <c r="AD8" s="2187" t="s">
        <v>68</v>
      </c>
      <c r="AE8" s="2328"/>
      <c r="AF8" s="2207">
        <v>1</v>
      </c>
      <c r="AG8" s="2365"/>
      <c r="AH8" s="2109" t="s">
        <v>68</v>
      </c>
      <c r="AI8" s="2328"/>
      <c r="AJ8" s="2207">
        <v>1</v>
      </c>
      <c r="AK8" s="2329" t="s">
        <v>28</v>
      </c>
      <c r="AL8" s="2109" t="s">
        <v>68</v>
      </c>
      <c r="AM8" s="2194"/>
      <c r="AN8" s="2207">
        <v>1</v>
      </c>
      <c r="AO8" s="2359"/>
      <c r="AP8" s="2360" t="s">
        <v>68</v>
      </c>
      <c r="AQ8" s="313"/>
      <c r="AR8" s="1488">
        <v>1</v>
      </c>
      <c r="AS8" s="1494" t="s">
        <v>28</v>
      </c>
      <c r="AT8" s="753"/>
      <c r="AU8" s="1259"/>
      <c r="AV8" s="753"/>
      <c r="AW8" s="1259"/>
      <c r="AX8" s="1736"/>
      <c r="AY8" s="1471" t="s">
        <v>68</v>
      </c>
      <c r="AZ8" s="1736"/>
      <c r="BA8" s="1471" t="s">
        <v>68</v>
      </c>
      <c r="BB8" s="1350"/>
      <c r="BC8" s="2255" t="s">
        <v>509</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510</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530</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531</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513</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476</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173</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174</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68</v>
      </c>
      <c r="AZ20" s="1738"/>
      <c r="BA20" s="1487" t="s">
        <v>68</v>
      </c>
      <c r="BI20" s="1157">
        <v>0</v>
      </c>
    </row>
    <row customHeight="1" ht="14.25" hidden="1">
      <c r="BD21" s="498"/>
      <c r="BE21" s="498"/>
      <c r="BF21" s="498"/>
      <c r="BG21" s="498"/>
      <c r="BH21" s="498"/>
      <c r="BI21" s="1157">
        <v>0</v>
      </c>
    </row>
    <row customHeight="1" ht="14.25" hidden="1">
      <c r="O22" s="1369" t="s">
        <v>423</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424</v>
      </c>
      <c r="P24" s="1510"/>
      <c r="Q24" s="1512"/>
      <c r="R24" s="1512"/>
      <c r="AA24" s="1509" t="s">
        <v>426</v>
      </c>
      <c r="AC24" s="1509" t="s">
        <v>427</v>
      </c>
      <c r="AD24" s="1509" t="s">
        <v>477</v>
      </c>
      <c r="AH24" s="1509" t="s">
        <v>477</v>
      </c>
      <c r="AK24" s="1509" t="s">
        <v>514</v>
      </c>
      <c r="AL24" s="1509" t="s">
        <v>477</v>
      </c>
      <c r="AP24" s="1509" t="s">
        <v>477</v>
      </c>
      <c r="AY24" s="1509" t="s">
        <v>426</v>
      </c>
      <c r="BA24" s="1509" t="s">
        <v>427</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43</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429</v>
      </c>
      <c r="T32" s="2252"/>
      <c r="U32" s="1374"/>
      <c r="V32" s="2266" t="str">
        <f>IF(TITLE_DATE_PR_CHANGE="",IF(TITLE_DATE_PR="","",TITLE_DATE_PR),TITLE_DATE_PR_CHANGE)</f>
        <v>46141.35650462963</v>
      </c>
      <c r="W32" s="2266"/>
      <c r="X32" s="2266"/>
      <c r="Y32" s="2266"/>
      <c r="Z32" s="2266"/>
      <c r="AA32" s="2266"/>
      <c r="AB32" s="2266"/>
      <c r="AC32" s="328"/>
      <c r="AD32" s="2266" t="str">
        <f>IF(TITLE_DATE_PR_CHANGE="",IF(TITLE_DATE_PR="","",TITLE_DATE_PR),TITLE_DATE_PR_CHANGE)</f>
        <v>46141.35650462963</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430</v>
      </c>
      <c r="T33" s="2252"/>
      <c r="U33" s="1374"/>
      <c r="V33" s="2253" t="str">
        <f>IF(TITLE_NUMBER_PR_CHANGE="",IF(TITLE_NUMBER_PR="","",TITLE_NUMBER_PR),TITLE_NUMBER_PR_CHANGE)</f>
        <v>вх. О-1106 (исх. №382 от 29.04.2026)</v>
      </c>
      <c r="W33" s="2253"/>
      <c r="X33" s="2253"/>
      <c r="Y33" s="2253"/>
      <c r="Z33" s="2253"/>
      <c r="AA33" s="2253"/>
      <c r="AB33" s="2253"/>
      <c r="AC33" s="328"/>
      <c r="AD33" s="2253" t="str">
        <f>IF(TITLE_NUMBER_PR_CHANGE="",IF(TITLE_NUMBER_PR="","",TITLE_NUMBER_PR),TITLE_NUMBER_PR_CHANGE)</f>
        <v>вх. О-1106 (исх. №382 от 29.04.2026)</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44</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429</v>
      </c>
      <c r="T36" s="2252"/>
      <c r="U36" s="1374"/>
      <c r="V36" s="2266" t="str">
        <f>IF(TITLE_DATE_PR_CHANGE="",IF(TITLE_DATE_PR="","",TITLE_DATE_PR),TITLE_DATE_PR_CHANGE)</f>
        <v>46141.35650462963</v>
      </c>
      <c r="W36" s="2266"/>
      <c r="X36" s="2266"/>
      <c r="Y36" s="2266"/>
      <c r="Z36" s="2266"/>
      <c r="AA36" s="2266"/>
      <c r="AB36" s="2266"/>
      <c r="AC36" s="328"/>
      <c r="AD36" s="2266" t="str">
        <f>IF(TITLE_DATE_PR_CHANGE="",IF(TITLE_DATE_PR="","",TITLE_DATE_PR),TITLE_DATE_PR_CHANGE)</f>
        <v>46141.35650462963</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430</v>
      </c>
      <c r="T37" s="2252"/>
      <c r="U37" s="1374"/>
      <c r="V37" s="2253" t="str">
        <f>IF(TITLE_NUMBER_PR_CHANGE="",IF(TITLE_NUMBER_PR="","",TITLE_NUMBER_PR),TITLE_NUMBER_PR_CHANGE)</f>
        <v>вх. О-1106 (исх. №382 от 29.04.2026)</v>
      </c>
      <c r="W37" s="2253"/>
      <c r="X37" s="2253"/>
      <c r="Y37" s="2253"/>
      <c r="Z37" s="2253"/>
      <c r="AA37" s="2253"/>
      <c r="AB37" s="2253"/>
      <c r="AC37" s="328"/>
      <c r="AD37" s="2253" t="str">
        <f>IF(TITLE_NUMBER_PR_CHANGE="",IF(TITLE_NUMBER_PR="","",TITLE_NUMBER_PR),TITLE_NUMBER_PR_CHANGE)</f>
        <v>вх. О-1106 (исх. №382 от 29.04.2026)</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433</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433</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310</v>
      </c>
      <c r="BI40" s="1157">
        <v>14</v>
      </c>
    </row>
    <row customHeight="1" ht="15">
      <c r="Q41" s="293"/>
      <c r="R41" s="378"/>
      <c r="S41" s="2275" t="s">
        <v>90</v>
      </c>
      <c r="T41" s="2211" t="s">
        <v>515</v>
      </c>
      <c r="U41" s="303"/>
      <c r="V41" s="2276" t="s">
        <v>435</v>
      </c>
      <c r="W41" s="2277"/>
      <c r="X41" s="2277"/>
      <c r="Y41" s="2277"/>
      <c r="Z41" s="2277"/>
      <c r="AA41" s="2277"/>
      <c r="AB41" s="2278"/>
      <c r="AC41" s="2279" t="s">
        <v>436</v>
      </c>
      <c r="AD41" s="2330" t="s">
        <v>532</v>
      </c>
      <c r="AE41" s="2293"/>
      <c r="AF41" s="2293"/>
      <c r="AG41" s="2331"/>
      <c r="AH41" s="2330" t="s">
        <v>533</v>
      </c>
      <c r="AI41" s="2293"/>
      <c r="AJ41" s="2293"/>
      <c r="AK41" s="2331"/>
      <c r="AL41" s="2330" t="s">
        <v>534</v>
      </c>
      <c r="AM41" s="2293"/>
      <c r="AN41" s="2293"/>
      <c r="AO41" s="2331"/>
      <c r="AP41" s="2330" t="s">
        <v>519</v>
      </c>
      <c r="AQ41" s="2293"/>
      <c r="AR41" s="2293"/>
      <c r="AS41" s="2331"/>
      <c r="AT41" s="2276" t="s">
        <v>435</v>
      </c>
      <c r="AU41" s="2277"/>
      <c r="AV41" s="2277"/>
      <c r="AW41" s="2277"/>
      <c r="AX41" s="2277"/>
      <c r="AY41" s="2277"/>
      <c r="AZ41" s="2278"/>
      <c r="BA41" s="2279" t="s">
        <v>436</v>
      </c>
      <c r="BB41" s="2282" t="s">
        <v>438</v>
      </c>
      <c r="BC41" s="2129"/>
      <c r="BI41" s="1157">
        <v>14</v>
      </c>
    </row>
    <row customHeight="1" ht="36">
      <c r="Q42" s="293"/>
      <c r="R42" s="378"/>
      <c r="S42" s="2275"/>
      <c r="T42" s="2211"/>
      <c r="U42" s="1033"/>
      <c r="V42" s="2194" t="s">
        <v>520</v>
      </c>
      <c r="W42" s="2195"/>
      <c r="X42" s="2194" t="s">
        <v>521</v>
      </c>
      <c r="Y42" s="2195"/>
      <c r="Z42" s="2296" t="s">
        <v>522</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535</v>
      </c>
      <c r="AU42" s="2195"/>
      <c r="AV42" s="2194" t="s">
        <v>536</v>
      </c>
      <c r="AW42" s="2195"/>
      <c r="AX42" s="2296" t="s">
        <v>522</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443</v>
      </c>
      <c r="F44" s="1366" t="s">
        <v>444</v>
      </c>
      <c r="G44" s="1366" t="s">
        <v>445</v>
      </c>
      <c r="H44" s="1366" t="s">
        <v>446</v>
      </c>
      <c r="I44" s="1366" t="s">
        <v>447</v>
      </c>
      <c r="J44" s="1366" t="s">
        <v>448</v>
      </c>
      <c r="K44" s="1366" t="s">
        <v>449</v>
      </c>
      <c r="L44" s="1366" t="s">
        <v>424</v>
      </c>
      <c r="Q44" s="293"/>
      <c r="R44" s="378"/>
      <c r="S44" s="2275"/>
      <c r="T44" s="2211"/>
      <c r="U44" s="304"/>
      <c r="V44" s="1481" t="s">
        <v>486</v>
      </c>
      <c r="W44" s="1481" t="s">
        <v>487</v>
      </c>
      <c r="X44" s="1481" t="s">
        <v>486</v>
      </c>
      <c r="Y44" s="1481" t="s">
        <v>487</v>
      </c>
      <c r="Z44" s="1491" t="s">
        <v>452</v>
      </c>
      <c r="AA44" s="2272" t="s">
        <v>453</v>
      </c>
      <c r="AB44" s="2273"/>
      <c r="AC44" s="2281"/>
      <c r="AD44" s="2335"/>
      <c r="AE44" s="2336"/>
      <c r="AF44" s="2336"/>
      <c r="AG44" s="2337"/>
      <c r="AH44" s="2335"/>
      <c r="AI44" s="2336"/>
      <c r="AJ44" s="2336"/>
      <c r="AK44" s="2337"/>
      <c r="AL44" s="2335"/>
      <c r="AM44" s="2336"/>
      <c r="AN44" s="2336"/>
      <c r="AO44" s="2337"/>
      <c r="AP44" s="2335"/>
      <c r="AQ44" s="2336"/>
      <c r="AR44" s="2336"/>
      <c r="AS44" s="2337"/>
      <c r="AT44" s="1481" t="s">
        <v>486</v>
      </c>
      <c r="AU44" s="1481" t="s">
        <v>487</v>
      </c>
      <c r="AV44" s="1481" t="s">
        <v>486</v>
      </c>
      <c r="AW44" s="1481" t="s">
        <v>487</v>
      </c>
      <c r="AX44" s="1491" t="s">
        <v>452</v>
      </c>
      <c r="AY44" s="2272" t="s">
        <v>453</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111</v>
      </c>
      <c r="T45" s="1257" t="s">
        <v>112</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285</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285</v>
      </c>
      <c r="B47" s="1365" t="s">
        <v>286</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406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407</v>
      </c>
      <c r="BE47" s="502"/>
      <c r="BF47" s="502" t="str">
        <f>IF(T47="","",T47)</f>
        <v>Территория действия тарифа</v>
      </c>
      <c r="BG47" s="502"/>
      <c r="BH47" s="502"/>
      <c r="BI47" s="1157">
        <v>21</v>
      </c>
    </row>
    <row customHeight="1" ht="36">
      <c r="A48" s="1365" t="s">
        <v>285</v>
      </c>
      <c r="B48" s="1365" t="s">
        <v>286</v>
      </c>
      <c r="C48" s="1365" t="s">
        <v>287</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524</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525</v>
      </c>
      <c r="BE48" s="502"/>
      <c r="BF48" s="502" t="str">
        <f>IF(T48="","",T48)</f>
        <v>Наименование централизованной системы водоотведения</v>
      </c>
      <c r="BG48" s="502"/>
      <c r="BH48" s="502"/>
      <c r="BI48" s="1157">
        <v>34</v>
      </c>
    </row>
    <row s="1644" customFormat="1" customHeight="1" ht="0">
      <c r="A49" s="1345" t="s">
        <v>285</v>
      </c>
      <c r="B49" s="1345" t="s">
        <v>286</v>
      </c>
      <c r="C49" s="1345" t="s">
        <v>287</v>
      </c>
      <c r="D49" s="1345" t="s">
        <v>537</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411</v>
      </c>
      <c r="BE49" s="502"/>
      <c r="BF49" s="502" t="str">
        <f>IF(T49="","",T49)</f>
        <v/>
      </c>
      <c r="BG49" s="502"/>
      <c r="BH49" s="502"/>
      <c r="BI49" s="513">
        <v>0</v>
      </c>
    </row>
    <row s="1644" customFormat="1" customHeight="1" ht="0">
      <c r="A50" s="1345" t="s">
        <v>285</v>
      </c>
      <c r="B50" s="1345" t="s">
        <v>286</v>
      </c>
      <c r="C50" s="1345" t="s">
        <v>287</v>
      </c>
      <c r="D50" s="1345" t="s">
        <v>537</v>
      </c>
      <c r="E50" s="2261"/>
      <c r="F50" s="2261"/>
      <c r="G50" s="2261"/>
      <c r="H50" s="2261"/>
      <c r="I50" s="2258" t="str">
        <f>S49&amp;".1"</f>
        <v>.1</v>
      </c>
      <c r="J50" s="1345"/>
      <c r="K50" s="1345"/>
      <c r="L50" s="1348" t="s">
        <v>412</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285</v>
      </c>
      <c r="B51" s="1345" t="s">
        <v>286</v>
      </c>
      <c r="C51" s="1345" t="s">
        <v>287</v>
      </c>
      <c r="D51" s="1345" t="s">
        <v>537</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285</v>
      </c>
      <c r="B52" s="1365" t="s">
        <v>286</v>
      </c>
      <c r="C52" s="1365" t="s">
        <v>287</v>
      </c>
      <c r="D52" s="1365" t="s">
        <v>537</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68</v>
      </c>
      <c r="AB52" s="1736"/>
      <c r="AC52" s="1471" t="s">
        <v>68</v>
      </c>
      <c r="AD52" s="2187" t="s">
        <v>68</v>
      </c>
      <c r="AE52" s="2328"/>
      <c r="AF52" s="2207">
        <v>1</v>
      </c>
      <c r="AG52" s="2365"/>
      <c r="AH52" s="2109" t="s">
        <v>68</v>
      </c>
      <c r="AI52" s="2328"/>
      <c r="AJ52" s="2207">
        <v>1</v>
      </c>
      <c r="AK52" s="2329" t="s">
        <v>28</v>
      </c>
      <c r="AL52" s="2109" t="s">
        <v>68</v>
      </c>
      <c r="AM52" s="2194"/>
      <c r="AN52" s="2207">
        <v>1</v>
      </c>
      <c r="AO52" s="2359"/>
      <c r="AP52" s="2360" t="s">
        <v>68</v>
      </c>
      <c r="AQ52" s="313"/>
      <c r="AR52" s="1488">
        <v>1</v>
      </c>
      <c r="AS52" s="1494" t="s">
        <v>28</v>
      </c>
      <c r="AT52" s="753"/>
      <c r="AU52" s="1259"/>
      <c r="AV52" s="753"/>
      <c r="AW52" s="1259"/>
      <c r="AX52" s="1736"/>
      <c r="AY52" s="1471" t="s">
        <v>68</v>
      </c>
      <c r="AZ52" s="1736"/>
      <c r="BA52" s="1471" t="s">
        <v>68</v>
      </c>
      <c r="BB52" s="1350"/>
      <c r="BC52" s="2255" t="s">
        <v>509</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510</v>
      </c>
      <c r="AT53" s="1395"/>
      <c r="AU53" s="1498"/>
      <c r="AV53" s="1395"/>
      <c r="AW53" s="1498"/>
      <c r="AX53" s="1395"/>
      <c r="AY53" s="1395"/>
      <c r="AZ53" s="1395"/>
      <c r="BA53" s="1395"/>
      <c r="BB53" s="1399"/>
      <c r="BC53" s="2256"/>
      <c r="BE53" s="502"/>
      <c r="BF53" s="502"/>
      <c r="BG53" s="502"/>
      <c r="BH53" s="502"/>
      <c r="BI53" s="1157">
        <v>11</v>
      </c>
    </row>
    <row customHeight="1" ht="11.25">
      <c r="A54" s="1365" t="s">
        <v>285</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530</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285</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531</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285</v>
      </c>
      <c r="B56" s="1365" t="s">
        <v>286</v>
      </c>
      <c r="C56" s="1365" t="s">
        <v>287</v>
      </c>
      <c r="D56" s="1365" t="s">
        <v>537</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513</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285</v>
      </c>
      <c r="B57" s="1365" t="s">
        <v>286</v>
      </c>
      <c r="C57" s="1365" t="s">
        <v>287</v>
      </c>
      <c r="D57" s="1365" t="s">
        <v>537</v>
      </c>
      <c r="E57" s="2261"/>
      <c r="F57" s="2261"/>
      <c r="G57" s="2261"/>
      <c r="H57" s="2261"/>
      <c r="I57" s="2288"/>
      <c r="J57" s="2258"/>
      <c r="K57" s="1365"/>
      <c r="L57" s="1366"/>
      <c r="P57" s="2259"/>
      <c r="Q57" s="2259"/>
      <c r="R57" s="358"/>
      <c r="S57" s="1280"/>
      <c r="T57" s="289" t="s">
        <v>476</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285</v>
      </c>
      <c r="B58" s="1345" t="s">
        <v>286</v>
      </c>
      <c r="C58" s="1345" t="s">
        <v>287</v>
      </c>
      <c r="D58" s="1345" t="s">
        <v>537</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285</v>
      </c>
      <c r="B59" s="1345" t="s">
        <v>286</v>
      </c>
      <c r="C59" s="1345" t="s">
        <v>287</v>
      </c>
      <c r="D59" s="1345" t="s">
        <v>537</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285</v>
      </c>
      <c r="B60" s="1345" t="s">
        <v>286</v>
      </c>
      <c r="C60" s="1345" t="s">
        <v>287</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285</v>
      </c>
      <c r="B61" s="1345" t="s">
        <v>286</v>
      </c>
      <c r="C61" s="1316"/>
      <c r="D61" s="1316"/>
      <c r="E61" s="2261"/>
      <c r="F61" s="2260"/>
      <c r="G61" s="1316"/>
      <c r="H61" s="1316"/>
      <c r="I61" s="1316"/>
      <c r="J61" s="1316"/>
      <c r="K61" s="1316"/>
      <c r="L61" s="1496"/>
      <c r="M61" s="1323"/>
      <c r="N61" s="1323"/>
      <c r="P61" s="1318"/>
      <c r="Q61" s="1319"/>
      <c r="R61" s="1318"/>
      <c r="S61" s="1324"/>
      <c r="T61" s="1327" t="s">
        <v>173</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285</v>
      </c>
      <c r="B62" s="1345"/>
      <c r="C62" s="1345"/>
      <c r="D62" s="1345"/>
      <c r="E62" s="2260"/>
      <c r="F62" s="1345"/>
      <c r="G62" s="1345"/>
      <c r="H62" s="1345"/>
      <c r="I62" s="1345"/>
      <c r="J62" s="1345"/>
      <c r="K62" s="1345"/>
      <c r="L62" s="1348"/>
      <c r="M62" s="1323"/>
      <c r="N62" s="1323"/>
      <c r="O62" s="520"/>
      <c r="P62" s="382"/>
      <c r="Q62" s="1346"/>
      <c r="R62" s="382"/>
      <c r="S62" s="1324"/>
      <c r="T62" s="1327" t="s">
        <v>174</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175</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84</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1E38DB-205A-26A7-5981-0.9A2027FE}"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406</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407</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538</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539</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491</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492</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415</v>
      </c>
      <c r="P6" s="2259"/>
      <c r="Q6" s="2259">
        <v>1</v>
      </c>
      <c r="R6" s="359"/>
      <c r="S6" s="1495">
        <f>$J6</f>
      </c>
      <c r="T6" s="288" t="s">
        <v>416</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493</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68</v>
      </c>
      <c r="AE7" s="2267"/>
      <c r="AF7" s="2109" t="s">
        <v>68</v>
      </c>
      <c r="AG7" s="753"/>
      <c r="AH7" s="753"/>
      <c r="AI7" s="753"/>
      <c r="AJ7" s="753"/>
      <c r="AK7" s="753"/>
      <c r="AL7" s="753"/>
      <c r="AM7" s="753"/>
      <c r="AN7" s="2267"/>
      <c r="AO7" s="2109" t="s">
        <v>68</v>
      </c>
      <c r="AP7" s="2289"/>
      <c r="AQ7" s="2109" t="s">
        <v>68</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494</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495</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421</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496</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173</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174</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68</v>
      </c>
      <c r="AP15" s="2269"/>
      <c r="AQ15" s="2270" t="s">
        <v>68</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423</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424</v>
      </c>
      <c r="P20" s="1364"/>
      <c r="Q20" s="1444"/>
      <c r="R20" s="1444"/>
      <c r="S20" s="731"/>
      <c r="T20" s="1162" t="s">
        <v>425</v>
      </c>
      <c r="W20" s="1368"/>
      <c r="X20" s="1368"/>
      <c r="Y20" s="1368"/>
      <c r="Z20" s="1368"/>
      <c r="AA20" s="1368"/>
      <c r="AB20" s="1368"/>
      <c r="AD20" s="188" t="s">
        <v>426</v>
      </c>
      <c r="AF20" s="188" t="s">
        <v>427</v>
      </c>
      <c r="AG20" s="1162" t="s">
        <v>425</v>
      </c>
      <c r="AH20" s="1368"/>
      <c r="AI20" s="1368"/>
      <c r="AJ20" s="1368"/>
      <c r="AK20" s="1368"/>
      <c r="AL20" s="1368"/>
      <c r="AO20" s="188" t="s">
        <v>428</v>
      </c>
      <c r="AQ20" s="188" t="s">
        <v>427</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43</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429</v>
      </c>
      <c r="T28" s="2252"/>
      <c r="U28" s="1374"/>
      <c r="V28" s="2266" t="str">
        <f>IF(TITLE_DATE_PR_CHANGE="",IF(TITLE_DATE_PR="","",TITLE_DATE_PR),TITLE_DATE_PR_CHANGE)</f>
        <v>46141.35650462963</v>
      </c>
      <c r="W28" s="2266"/>
      <c r="X28" s="2266"/>
      <c r="Y28" s="2266"/>
      <c r="Z28" s="2266"/>
      <c r="AA28" s="2266"/>
      <c r="AB28" s="2266"/>
      <c r="AC28" s="2266"/>
      <c r="AD28" s="2266"/>
      <c r="AE28" s="2266"/>
      <c r="AF28" s="328"/>
      <c r="AG28" s="2266" t="str">
        <f>IF(TITLE_DATE_PR_CHANGE="",IF(TITLE_DATE_PR="","",TITLE_DATE_PR),TITLE_DATE_PR_CHANGE)</f>
        <v>46141.35650462963</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430</v>
      </c>
      <c r="T29" s="2252"/>
      <c r="U29" s="1374"/>
      <c r="V29" s="2253" t="str">
        <f>IF(TITLE_NUMBER_PR_CHANGE="",IF(TITLE_NUMBER_PR="","",TITLE_NUMBER_PR),TITLE_NUMBER_PR_CHANGE)</f>
        <v>вх. О-1106 (исх. №382 от 29.04.2026)</v>
      </c>
      <c r="W29" s="2253"/>
      <c r="X29" s="2253"/>
      <c r="Y29" s="2253"/>
      <c r="Z29" s="2253"/>
      <c r="AA29" s="2253"/>
      <c r="AB29" s="2253"/>
      <c r="AC29" s="2253"/>
      <c r="AD29" s="2253"/>
      <c r="AE29" s="2253"/>
      <c r="AF29" s="328"/>
      <c r="AG29" s="2253" t="str">
        <f>IF(TITLE_NUMBER_PR_CHANGE="",IF(TITLE_NUMBER_PR="","",TITLE_NUMBER_PR),TITLE_NUMBER_PR_CHANGE)</f>
        <v>вх. О-1106 (исх. №382 от 29.04.2026)</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44</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c r="A32" s="1370"/>
      <c r="B32" s="1370"/>
      <c r="C32" s="1370"/>
      <c r="D32" s="1370"/>
      <c r="E32" s="1370"/>
      <c r="F32" s="1370"/>
      <c r="G32" s="1370"/>
      <c r="H32" s="1370"/>
      <c r="I32" s="1370"/>
      <c r="J32" s="1370"/>
      <c r="K32" s="1370"/>
      <c r="L32" s="1371"/>
      <c r="M32" s="1370"/>
      <c r="N32" s="1370"/>
      <c r="O32" s="1370"/>
      <c r="S32" s="2252" t="s">
        <v>431</v>
      </c>
      <c r="T32" s="2252"/>
      <c r="U32" s="1374"/>
      <c r="V32" s="2266" t="str">
        <f>IF(TITLE_DATE_PR_CHANGE="",IF(TITLE_DATE_PR="","",TITLE_DATE_PR),TITLE_DATE_PR_CHANGE)</f>
        <v>46141.35650462963</v>
      </c>
      <c r="W32" s="2266"/>
      <c r="X32" s="2266"/>
      <c r="Y32" s="2266"/>
      <c r="Z32" s="2266"/>
      <c r="AA32" s="2266"/>
      <c r="AB32" s="2266"/>
      <c r="AC32" s="2266"/>
      <c r="AD32" s="2266"/>
      <c r="AE32" s="2266"/>
      <c r="AF32" s="328"/>
      <c r="AG32" s="2266" t="str">
        <f>IF(TITLE_DATE_PR_CHANGE="",IF(TITLE_DATE_PR="","",TITLE_DATE_PR),TITLE_DATE_PR_CHANGE)</f>
        <v>46141.35650462963</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c r="A33" s="1370"/>
      <c r="B33" s="1370"/>
      <c r="C33" s="1370"/>
      <c r="D33" s="1370"/>
      <c r="E33" s="1370"/>
      <c r="F33" s="1370"/>
      <c r="G33" s="1370"/>
      <c r="H33" s="1370"/>
      <c r="I33" s="1370"/>
      <c r="J33" s="1370"/>
      <c r="K33" s="1370"/>
      <c r="L33" s="1371"/>
      <c r="M33" s="1370"/>
      <c r="N33" s="1370"/>
      <c r="O33" s="1370"/>
      <c r="S33" s="2252" t="s">
        <v>432</v>
      </c>
      <c r="T33" s="2252"/>
      <c r="U33" s="1374"/>
      <c r="V33" s="2253" t="str">
        <f>IF(TITLE_NUMBER_PR_CHANGE="",IF(TITLE_NUMBER_PR="","",TITLE_NUMBER_PR),TITLE_NUMBER_PR_CHANGE)</f>
        <v>вх. О-1106 (исх. №382 от 29.04.2026)</v>
      </c>
      <c r="W33" s="2253"/>
      <c r="X33" s="2253"/>
      <c r="Y33" s="2253"/>
      <c r="Z33" s="2253"/>
      <c r="AA33" s="2253"/>
      <c r="AB33" s="2253"/>
      <c r="AC33" s="2253"/>
      <c r="AD33" s="2253"/>
      <c r="AE33" s="2253"/>
      <c r="AF33" s="328"/>
      <c r="AG33" s="2253" t="str">
        <f>IF(TITLE_NUMBER_PR_CHANGE="",IF(TITLE_NUMBER_PR="","",TITLE_NUMBER_PR),TITLE_NUMBER_PR_CHANGE)</f>
        <v>вх. О-1106 (исх. №382 от 29.04.2026)</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433</v>
      </c>
      <c r="AG34" s="328"/>
      <c r="AH34" s="1637"/>
      <c r="AI34" s="1637"/>
      <c r="AJ34" s="1637"/>
      <c r="AK34" s="1637"/>
      <c r="AL34" s="1637"/>
      <c r="AM34" s="328"/>
      <c r="AN34" s="328"/>
      <c r="AO34" s="328"/>
      <c r="AP34" s="328"/>
      <c r="AQ34" s="280" t="s">
        <v>433</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309</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310</v>
      </c>
      <c r="AY36" s="1157">
        <v>14</v>
      </c>
    </row>
    <row customHeight="1" ht="15">
      <c r="Q37" s="378"/>
      <c r="R37" s="378"/>
      <c r="S37" s="2275" t="s">
        <v>90</v>
      </c>
      <c r="T37" s="2211" t="s">
        <v>434</v>
      </c>
      <c r="U37" s="303"/>
      <c r="V37" s="2276" t="s">
        <v>435</v>
      </c>
      <c r="W37" s="2293"/>
      <c r="X37" s="2293"/>
      <c r="Y37" s="2293"/>
      <c r="Z37" s="2293"/>
      <c r="AA37" s="2293"/>
      <c r="AB37" s="2293"/>
      <c r="AC37" s="2277"/>
      <c r="AD37" s="2277"/>
      <c r="AE37" s="2278"/>
      <c r="AF37" s="2279" t="s">
        <v>436</v>
      </c>
      <c r="AG37" s="2276" t="s">
        <v>435</v>
      </c>
      <c r="AH37" s="2277"/>
      <c r="AI37" s="2277"/>
      <c r="AJ37" s="2277"/>
      <c r="AK37" s="2277"/>
      <c r="AL37" s="2277"/>
      <c r="AM37" s="2277"/>
      <c r="AN37" s="2277"/>
      <c r="AO37" s="2277"/>
      <c r="AP37" s="2278"/>
      <c r="AQ37" s="2279" t="s">
        <v>437</v>
      </c>
      <c r="AR37" s="2282" t="s">
        <v>438</v>
      </c>
      <c r="AS37" s="2129"/>
      <c r="AY37" s="1157">
        <v>14</v>
      </c>
    </row>
    <row customHeight="1" ht="20.25">
      <c r="Q38" s="378"/>
      <c r="R38" s="378"/>
      <c r="S38" s="2275"/>
      <c r="T38" s="2211"/>
      <c r="U38" s="1033"/>
      <c r="V38" s="2368" t="s">
        <v>540</v>
      </c>
      <c r="W38" s="2367" t="s">
        <v>541</v>
      </c>
      <c r="X38" s="2367"/>
      <c r="Y38" s="2367"/>
      <c r="Z38" s="2367" t="s">
        <v>542</v>
      </c>
      <c r="AA38" s="2367"/>
      <c r="AB38" s="2367"/>
      <c r="AC38" s="2296" t="s">
        <v>442</v>
      </c>
      <c r="AD38" s="2315"/>
      <c r="AE38" s="2316"/>
      <c r="AF38" s="2280"/>
      <c r="AG38" s="2368" t="s">
        <v>540</v>
      </c>
      <c r="AH38" s="2367" t="s">
        <v>541</v>
      </c>
      <c r="AI38" s="2367"/>
      <c r="AJ38" s="2367"/>
      <c r="AK38" s="2367" t="s">
        <v>542</v>
      </c>
      <c r="AL38" s="2367"/>
      <c r="AM38" s="2367"/>
      <c r="AN38" s="2296" t="s">
        <v>442</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543</v>
      </c>
      <c r="X39" s="2367" t="s">
        <v>544</v>
      </c>
      <c r="Y39" s="2367"/>
      <c r="Z39" s="2367" t="s">
        <v>545</v>
      </c>
      <c r="AA39" s="2367" t="s">
        <v>544</v>
      </c>
      <c r="AB39" s="2367"/>
      <c r="AC39" s="2297"/>
      <c r="AD39" s="2317"/>
      <c r="AE39" s="2318"/>
      <c r="AF39" s="2280"/>
      <c r="AG39" s="2368"/>
      <c r="AH39" s="2367" t="s">
        <v>543</v>
      </c>
      <c r="AI39" s="2367" t="s">
        <v>544</v>
      </c>
      <c r="AJ39" s="2367"/>
      <c r="AK39" s="2367" t="s">
        <v>545</v>
      </c>
      <c r="AL39" s="2367" t="s">
        <v>544</v>
      </c>
      <c r="AM39" s="2367"/>
      <c r="AN39" s="2297"/>
      <c r="AO39" s="2317"/>
      <c r="AP39" s="2318"/>
      <c r="AQ39" s="2280"/>
      <c r="AR39" s="2283"/>
      <c r="AS39" s="2129"/>
      <c r="AT39" s="1638"/>
      <c r="AU39" s="1638"/>
      <c r="AV39" s="1638"/>
      <c r="AW39" s="1638"/>
      <c r="AX39" s="1638"/>
      <c r="AY39" s="1633">
        <v>19</v>
      </c>
    </row>
    <row customHeight="1" ht="62.25">
      <c r="A40" s="1372"/>
      <c r="B40" s="1372" t="s">
        <v>137</v>
      </c>
      <c r="C40" s="1372" t="s">
        <v>138</v>
      </c>
      <c r="D40" s="1372" t="s">
        <v>139</v>
      </c>
      <c r="E40" s="1366" t="s">
        <v>443</v>
      </c>
      <c r="F40" s="1366" t="s">
        <v>444</v>
      </c>
      <c r="G40" s="1366" t="s">
        <v>445</v>
      </c>
      <c r="H40" s="1366"/>
      <c r="I40" s="1366" t="s">
        <v>498</v>
      </c>
      <c r="J40" s="1366" t="s">
        <v>448</v>
      </c>
      <c r="K40" s="1366" t="s">
        <v>499</v>
      </c>
      <c r="L40" s="1366" t="s">
        <v>424</v>
      </c>
      <c r="Q40" s="378"/>
      <c r="R40" s="378"/>
      <c r="S40" s="2275"/>
      <c r="T40" s="2211"/>
      <c r="U40" s="304"/>
      <c r="V40" s="2368"/>
      <c r="W40" s="2367"/>
      <c r="X40" s="1985" t="s">
        <v>546</v>
      </c>
      <c r="Y40" s="1985" t="s">
        <v>547</v>
      </c>
      <c r="Z40" s="2367"/>
      <c r="AA40" s="1985" t="s">
        <v>548</v>
      </c>
      <c r="AB40" s="1985" t="s">
        <v>549</v>
      </c>
      <c r="AC40" s="1491" t="s">
        <v>452</v>
      </c>
      <c r="AD40" s="2272" t="s">
        <v>453</v>
      </c>
      <c r="AE40" s="2273"/>
      <c r="AF40" s="2281"/>
      <c r="AG40" s="2368"/>
      <c r="AH40" s="2367"/>
      <c r="AI40" s="1985" t="s">
        <v>546</v>
      </c>
      <c r="AJ40" s="1985" t="s">
        <v>547</v>
      </c>
      <c r="AK40" s="2367"/>
      <c r="AL40" s="1985" t="s">
        <v>548</v>
      </c>
      <c r="AM40" s="1985" t="s">
        <v>549</v>
      </c>
      <c r="AN40" s="1491" t="s">
        <v>452</v>
      </c>
      <c r="AO40" s="2272" t="s">
        <v>453</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111</v>
      </c>
      <c r="T41" s="1257" t="s">
        <v>112</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260</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125</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260</v>
      </c>
      <c r="B43" s="1365" t="s">
        <v>261</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406</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407</v>
      </c>
      <c r="AU43" s="502"/>
      <c r="AV43" s="502" t="str">
        <f>IF(T43="","",T43)</f>
        <v>Территория действия тарифа</v>
      </c>
      <c r="AW43" s="502"/>
      <c r="AX43" s="502"/>
      <c r="AY43" s="1157">
        <v>23</v>
      </c>
    </row>
    <row customHeight="1" ht="24">
      <c r="A44" s="1365" t="s">
        <v>260</v>
      </c>
      <c r="B44" s="1365" t="s">
        <v>261</v>
      </c>
      <c r="C44" s="1365" t="s">
        <v>262</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538</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539</v>
      </c>
      <c r="AU44" s="502"/>
      <c r="AV44" s="502" t="str">
        <f>IF(T44="","",T44)</f>
        <v>Наименование централизованной системы горячего водоснабжения</v>
      </c>
      <c r="AW44" s="502"/>
      <c r="AX44" s="502"/>
      <c r="AY44" s="1157">
        <v>23</v>
      </c>
    </row>
    <row customHeight="1" ht="24">
      <c r="A45" s="1365" t="s">
        <v>260</v>
      </c>
      <c r="B45" s="1365" t="s">
        <v>261</v>
      </c>
      <c r="C45" s="1365" t="s">
        <v>262</v>
      </c>
      <c r="D45" s="1365" t="s">
        <v>550</v>
      </c>
      <c r="E45" s="2261"/>
      <c r="F45" s="2261"/>
      <c r="G45" s="2261"/>
      <c r="H45" s="2261"/>
      <c r="I45" s="2258" t="str">
        <f>S44&amp;".1"</f>
        <v>...1</v>
      </c>
      <c r="J45" s="1365"/>
      <c r="K45" s="1365"/>
      <c r="L45" s="1366"/>
      <c r="P45" s="2259">
        <v>1</v>
      </c>
      <c r="Q45" s="1483"/>
      <c r="R45" s="358"/>
      <c r="S45" s="1495" t="str">
        <f>$I45</f>
        <v>...1</v>
      </c>
      <c r="T45" s="287" t="s">
        <v>491</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492</v>
      </c>
      <c r="AU45" s="502"/>
      <c r="AV45" s="502" t="str">
        <f>IF(T45="","",T45)</f>
        <v>Наименование признака дифференциации</v>
      </c>
      <c r="AW45" s="502"/>
      <c r="AX45" s="502"/>
      <c r="AY45" s="1157">
        <v>23</v>
      </c>
    </row>
    <row customHeight="1" ht="24">
      <c r="A46" s="1365" t="s">
        <v>260</v>
      </c>
      <c r="B46" s="1365" t="s">
        <v>261</v>
      </c>
      <c r="C46" s="1365" t="s">
        <v>262</v>
      </c>
      <c r="D46" s="1365" t="s">
        <v>550</v>
      </c>
      <c r="E46" s="2261"/>
      <c r="F46" s="2261"/>
      <c r="G46" s="2261"/>
      <c r="H46" s="2261"/>
      <c r="I46" s="2288"/>
      <c r="J46" s="2258" t="str">
        <f>I45&amp;".1"</f>
        <v>...1.1</v>
      </c>
      <c r="K46" s="1365"/>
      <c r="L46" s="1366" t="s">
        <v>415</v>
      </c>
      <c r="P46" s="2259"/>
      <c r="Q46" s="2259">
        <v>1</v>
      </c>
      <c r="R46" s="359"/>
      <c r="S46" s="1495" t="str">
        <f>$J46</f>
        <v>...1.1</v>
      </c>
      <c r="T46" s="288" t="s">
        <v>416</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493</v>
      </c>
      <c r="AU46" s="502"/>
      <c r="AV46" s="502" t="str">
        <f>IF(T46="","",T46)</f>
        <v>Группа потребителей</v>
      </c>
      <c r="AW46" s="502"/>
      <c r="AX46" s="502"/>
      <c r="AY46" s="1157">
        <v>23</v>
      </c>
    </row>
    <row customHeight="1" ht="24">
      <c r="A47" s="1365" t="s">
        <v>260</v>
      </c>
      <c r="B47" s="1365" t="s">
        <v>261</v>
      </c>
      <c r="C47" s="1365" t="s">
        <v>262</v>
      </c>
      <c r="D47" s="1365" t="s">
        <v>550</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68</v>
      </c>
      <c r="AE47" s="2269"/>
      <c r="AF47" s="2270" t="s">
        <v>68</v>
      </c>
      <c r="AG47" s="753"/>
      <c r="AH47" s="753"/>
      <c r="AI47" s="753"/>
      <c r="AJ47" s="753"/>
      <c r="AK47" s="753"/>
      <c r="AL47" s="753"/>
      <c r="AM47" s="753"/>
      <c r="AN47" s="2267"/>
      <c r="AO47" s="2109" t="s">
        <v>68</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260</v>
      </c>
      <c r="B48" s="1365" t="s">
        <v>261</v>
      </c>
      <c r="C48" s="1365" t="s">
        <v>262</v>
      </c>
      <c r="D48" s="1365" t="s">
        <v>550</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260</v>
      </c>
      <c r="B49" s="1365" t="s">
        <v>261</v>
      </c>
      <c r="C49" s="1365" t="s">
        <v>262</v>
      </c>
      <c r="D49" s="1365" t="s">
        <v>550</v>
      </c>
      <c r="E49" s="2261"/>
      <c r="F49" s="2261"/>
      <c r="G49" s="2261"/>
      <c r="H49" s="2261"/>
      <c r="I49" s="2288"/>
      <c r="J49" s="2258"/>
      <c r="K49" s="1365"/>
      <c r="L49" s="1366"/>
      <c r="P49" s="2259"/>
      <c r="Q49" s="2259"/>
      <c r="R49" s="358"/>
      <c r="S49" s="1280"/>
      <c r="T49" s="289" t="s">
        <v>494</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495</v>
      </c>
      <c r="AU49" s="502"/>
      <c r="AV49" s="502" t="str">
        <f>IF(T49="","",T49)</f>
        <v>Добавить значение признака дифференциации</v>
      </c>
      <c r="AW49" s="502"/>
      <c r="AX49" s="502"/>
      <c r="AY49" s="1157">
        <v>20</v>
      </c>
    </row>
    <row customHeight="1" ht="21.75">
      <c r="A50" s="1365" t="s">
        <v>260</v>
      </c>
      <c r="B50" s="1365" t="s">
        <v>261</v>
      </c>
      <c r="C50" s="1365" t="s">
        <v>262</v>
      </c>
      <c r="D50" s="1365" t="s">
        <v>550</v>
      </c>
      <c r="E50" s="2261"/>
      <c r="F50" s="2261"/>
      <c r="G50" s="2261"/>
      <c r="H50" s="2261"/>
      <c r="I50" s="2258"/>
      <c r="J50" s="1365"/>
      <c r="K50" s="1365"/>
      <c r="L50" s="1366"/>
      <c r="P50" s="2259"/>
      <c r="Q50" s="1483"/>
      <c r="R50" s="358"/>
      <c r="S50" s="1280"/>
      <c r="T50" s="367" t="s">
        <v>421</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260</v>
      </c>
      <c r="B51" s="1365" t="s">
        <v>261</v>
      </c>
      <c r="C51" s="1365" t="s">
        <v>262</v>
      </c>
      <c r="D51" s="1365" t="s">
        <v>550</v>
      </c>
      <c r="E51" s="2261"/>
      <c r="F51" s="2261"/>
      <c r="G51" s="2261"/>
      <c r="H51" s="2260"/>
      <c r="I51" s="1365"/>
      <c r="J51" s="1365"/>
      <c r="K51" s="1365"/>
      <c r="L51" s="1366"/>
      <c r="M51" s="1367"/>
      <c r="N51" s="1367"/>
      <c r="O51" s="539"/>
      <c r="P51" s="362"/>
      <c r="Q51" s="377"/>
      <c r="R51" s="357"/>
      <c r="S51" s="1280"/>
      <c r="T51" s="374" t="s">
        <v>496</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260</v>
      </c>
      <c r="B52" s="1345" t="s">
        <v>261</v>
      </c>
      <c r="C52" s="1316"/>
      <c r="D52" s="1316"/>
      <c r="E52" s="2261"/>
      <c r="F52" s="2260"/>
      <c r="G52" s="1316"/>
      <c r="H52" s="1316"/>
      <c r="I52" s="1316"/>
      <c r="J52" s="1316"/>
      <c r="K52" s="1316"/>
      <c r="L52" s="1496"/>
      <c r="M52" s="1323"/>
      <c r="N52" s="1323"/>
      <c r="P52" s="1318"/>
      <c r="Q52" s="1319"/>
      <c r="R52" s="1318"/>
      <c r="S52" s="1324"/>
      <c r="T52" s="1327" t="s">
        <v>173</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260</v>
      </c>
      <c r="B53" s="1345"/>
      <c r="C53" s="1345"/>
      <c r="D53" s="1345"/>
      <c r="E53" s="2260"/>
      <c r="F53" s="1345"/>
      <c r="G53" s="1345"/>
      <c r="H53" s="1345"/>
      <c r="I53" s="1345"/>
      <c r="J53" s="1345"/>
      <c r="K53" s="1345"/>
      <c r="L53" s="1348"/>
      <c r="M53" s="1323"/>
      <c r="N53" s="1323"/>
      <c r="O53" s="520"/>
      <c r="P53" s="382"/>
      <c r="Q53" s="1346"/>
      <c r="R53" s="382"/>
      <c r="S53" s="1324"/>
      <c r="T53" s="1327" t="s">
        <v>174</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175</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84</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A78CEF-2589-E5DE-0CE3-0.501CBBD8}"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406</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407</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538</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539</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491</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492</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415</v>
      </c>
      <c r="P6" s="2259"/>
      <c r="Q6" s="2259">
        <v>1</v>
      </c>
      <c r="R6" s="359"/>
      <c r="S6" s="1495">
        <f>$J6</f>
      </c>
      <c r="T6" s="288" t="s">
        <v>416</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493</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68</v>
      </c>
      <c r="AE7" s="2267"/>
      <c r="AF7" s="2109" t="s">
        <v>68</v>
      </c>
      <c r="AG7" s="753"/>
      <c r="AH7" s="753"/>
      <c r="AI7" s="753"/>
      <c r="AJ7" s="753"/>
      <c r="AK7" s="753"/>
      <c r="AL7" s="753"/>
      <c r="AM7" s="1259"/>
      <c r="AN7" s="2267"/>
      <c r="AO7" s="2109" t="s">
        <v>68</v>
      </c>
      <c r="AP7" s="2289"/>
      <c r="AQ7" s="2109" t="s">
        <v>68</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494</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495</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421</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496</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173</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174</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68</v>
      </c>
      <c r="AP15" s="2269"/>
      <c r="AQ15" s="2270" t="s">
        <v>68</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423</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424</v>
      </c>
      <c r="P20" s="1364"/>
      <c r="Q20" s="1444"/>
      <c r="R20" s="1444"/>
      <c r="S20" s="731"/>
      <c r="T20" s="1162" t="s">
        <v>425</v>
      </c>
      <c r="W20" s="1368"/>
      <c r="X20" s="1368"/>
      <c r="Y20" s="1368"/>
      <c r="Z20" s="1368"/>
      <c r="AA20" s="1368"/>
      <c r="AD20" s="188" t="s">
        <v>426</v>
      </c>
      <c r="AF20" s="188" t="s">
        <v>427</v>
      </c>
      <c r="AG20" s="1162" t="s">
        <v>425</v>
      </c>
      <c r="AH20" s="1368"/>
      <c r="AI20" s="1368"/>
      <c r="AJ20" s="1368"/>
      <c r="AK20" s="1368"/>
      <c r="AL20" s="1368"/>
      <c r="AO20" s="188" t="s">
        <v>428</v>
      </c>
      <c r="AQ20" s="188" t="s">
        <v>427</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43</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429</v>
      </c>
      <c r="T28" s="2252"/>
      <c r="U28" s="1374"/>
      <c r="V28" s="2266" t="str">
        <f>IF(TITLE_DATE_PR_CHANGE="",IF(TITLE_DATE_PR="","",TITLE_DATE_PR),TITLE_DATE_PR_CHANGE)</f>
        <v>46141.35650462963</v>
      </c>
      <c r="W28" s="2266"/>
      <c r="X28" s="2266"/>
      <c r="Y28" s="2266"/>
      <c r="Z28" s="2266"/>
      <c r="AA28" s="2266"/>
      <c r="AB28" s="2266"/>
      <c r="AC28" s="2266"/>
      <c r="AD28" s="2266"/>
      <c r="AE28" s="2266"/>
      <c r="AF28" s="328"/>
      <c r="AG28" s="2266" t="str">
        <f>IF(TITLE_DATE_PR_CHANGE="",IF(TITLE_DATE_PR="","",TITLE_DATE_PR),TITLE_DATE_PR_CHANGE)</f>
        <v>46141.35650462963</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430</v>
      </c>
      <c r="T29" s="2252"/>
      <c r="U29" s="1374"/>
      <c r="V29" s="2253" t="str">
        <f>IF(TITLE_NUMBER_PR_CHANGE="",IF(TITLE_NUMBER_PR="","",TITLE_NUMBER_PR),TITLE_NUMBER_PR_CHANGE)</f>
        <v>вх. О-1106 (исх. №382 от 29.04.2026)</v>
      </c>
      <c r="W29" s="2253"/>
      <c r="X29" s="2253"/>
      <c r="Y29" s="2253"/>
      <c r="Z29" s="2253"/>
      <c r="AA29" s="2253"/>
      <c r="AB29" s="2253"/>
      <c r="AC29" s="2253"/>
      <c r="AD29" s="2253"/>
      <c r="AE29" s="2253"/>
      <c r="AF29" s="328"/>
      <c r="AG29" s="2253" t="str">
        <f>IF(TITLE_NUMBER_PR_CHANGE="",IF(TITLE_NUMBER_PR="","",TITLE_NUMBER_PR),TITLE_NUMBER_PR_CHANGE)</f>
        <v>вх. О-1106 (исх. №382 от 29.04.2026)</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44</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c r="A32" s="1370"/>
      <c r="B32" s="1370"/>
      <c r="C32" s="1370"/>
      <c r="D32" s="1370"/>
      <c r="E32" s="1370"/>
      <c r="F32" s="1370"/>
      <c r="G32" s="1370"/>
      <c r="H32" s="1370"/>
      <c r="I32" s="1370"/>
      <c r="J32" s="1370"/>
      <c r="K32" s="1370"/>
      <c r="L32" s="1371"/>
      <c r="M32" s="1370"/>
      <c r="N32" s="1370"/>
      <c r="O32" s="1370"/>
      <c r="S32" s="2252" t="s">
        <v>431</v>
      </c>
      <c r="T32" s="2252"/>
      <c r="U32" s="1374"/>
      <c r="V32" s="2266" t="str">
        <f>IF(TITLE_DATE_PR_CHANGE="",IF(TITLE_DATE_PR="","",TITLE_DATE_PR),TITLE_DATE_PR_CHANGE)</f>
        <v>46141.35650462963</v>
      </c>
      <c r="W32" s="2266"/>
      <c r="X32" s="2266"/>
      <c r="Y32" s="2266"/>
      <c r="Z32" s="2266"/>
      <c r="AA32" s="2266"/>
      <c r="AB32" s="2266"/>
      <c r="AC32" s="2266"/>
      <c r="AD32" s="2266"/>
      <c r="AE32" s="2266"/>
      <c r="AF32" s="328"/>
      <c r="AG32" s="2266" t="str">
        <f>IF(TITLE_DATE_PR_CHANGE="",IF(TITLE_DATE_PR="","",TITLE_DATE_PR),TITLE_DATE_PR_CHANGE)</f>
        <v>46141.35650462963</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c r="A33" s="1370"/>
      <c r="B33" s="1370"/>
      <c r="C33" s="1370"/>
      <c r="D33" s="1370"/>
      <c r="E33" s="1370"/>
      <c r="F33" s="1370"/>
      <c r="G33" s="1370"/>
      <c r="H33" s="1370"/>
      <c r="I33" s="1370"/>
      <c r="J33" s="1370"/>
      <c r="K33" s="1370"/>
      <c r="L33" s="1371"/>
      <c r="M33" s="1370"/>
      <c r="N33" s="1370"/>
      <c r="O33" s="1370"/>
      <c r="S33" s="2252" t="s">
        <v>432</v>
      </c>
      <c r="T33" s="2252"/>
      <c r="U33" s="1374"/>
      <c r="V33" s="2253" t="str">
        <f>IF(TITLE_NUMBER_PR_CHANGE="",IF(TITLE_NUMBER_PR="","",TITLE_NUMBER_PR),TITLE_NUMBER_PR_CHANGE)</f>
        <v>вх. О-1106 (исх. №382 от 29.04.2026)</v>
      </c>
      <c r="W33" s="2253"/>
      <c r="X33" s="2253"/>
      <c r="Y33" s="2253"/>
      <c r="Z33" s="2253"/>
      <c r="AA33" s="2253"/>
      <c r="AB33" s="2253"/>
      <c r="AC33" s="2253"/>
      <c r="AD33" s="2253"/>
      <c r="AE33" s="2253"/>
      <c r="AF33" s="328"/>
      <c r="AG33" s="2253" t="str">
        <f>IF(TITLE_NUMBER_PR_CHANGE="",IF(TITLE_NUMBER_PR="","",TITLE_NUMBER_PR),TITLE_NUMBER_PR_CHANGE)</f>
        <v>вх. О-1106 (исх. №382 от 29.04.2026)</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433</v>
      </c>
      <c r="AG34" s="328"/>
      <c r="AH34" s="1637"/>
      <c r="AI34" s="1637"/>
      <c r="AJ34" s="1637"/>
      <c r="AK34" s="1637"/>
      <c r="AL34" s="1637"/>
      <c r="AM34" s="328"/>
      <c r="AN34" s="328"/>
      <c r="AO34" s="328"/>
      <c r="AP34" s="328"/>
      <c r="AQ34" s="280" t="s">
        <v>433</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309</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310</v>
      </c>
      <c r="AY36" s="1157">
        <v>14</v>
      </c>
    </row>
    <row customHeight="1" ht="15">
      <c r="Q37" s="378"/>
      <c r="R37" s="378"/>
      <c r="S37" s="2275" t="s">
        <v>90</v>
      </c>
      <c r="T37" s="2211" t="s">
        <v>434</v>
      </c>
      <c r="U37" s="303"/>
      <c r="V37" s="2276" t="s">
        <v>435</v>
      </c>
      <c r="W37" s="2277"/>
      <c r="X37" s="2277"/>
      <c r="Y37" s="2277"/>
      <c r="Z37" s="2277"/>
      <c r="AA37" s="2277"/>
      <c r="AB37" s="2277"/>
      <c r="AC37" s="2277"/>
      <c r="AD37" s="2277"/>
      <c r="AE37" s="2278"/>
      <c r="AF37" s="2279" t="s">
        <v>436</v>
      </c>
      <c r="AG37" s="2276" t="s">
        <v>435</v>
      </c>
      <c r="AH37" s="2277"/>
      <c r="AI37" s="2277"/>
      <c r="AJ37" s="2277"/>
      <c r="AK37" s="2277"/>
      <c r="AL37" s="2277"/>
      <c r="AM37" s="2277"/>
      <c r="AN37" s="2277"/>
      <c r="AO37" s="2277"/>
      <c r="AP37" s="2278"/>
      <c r="AQ37" s="2279" t="s">
        <v>437</v>
      </c>
      <c r="AR37" s="2282" t="s">
        <v>438</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540</v>
      </c>
      <c r="W38" s="2367" t="s">
        <v>541</v>
      </c>
      <c r="X38" s="2367"/>
      <c r="Y38" s="2367"/>
      <c r="Z38" s="2367" t="s">
        <v>542</v>
      </c>
      <c r="AA38" s="2367"/>
      <c r="AB38" s="2367"/>
      <c r="AC38" s="2296" t="s">
        <v>442</v>
      </c>
      <c r="AD38" s="2315"/>
      <c r="AE38" s="2316"/>
      <c r="AF38" s="2280"/>
      <c r="AG38" s="2368" t="s">
        <v>540</v>
      </c>
      <c r="AH38" s="2367" t="s">
        <v>541</v>
      </c>
      <c r="AI38" s="2367"/>
      <c r="AJ38" s="2367"/>
      <c r="AK38" s="2367" t="s">
        <v>542</v>
      </c>
      <c r="AL38" s="2367"/>
      <c r="AM38" s="2367"/>
      <c r="AN38" s="2296" t="s">
        <v>442</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543</v>
      </c>
      <c r="X39" s="2367" t="s">
        <v>544</v>
      </c>
      <c r="Y39" s="2367"/>
      <c r="Z39" s="2367" t="s">
        <v>545</v>
      </c>
      <c r="AA39" s="2367" t="s">
        <v>544</v>
      </c>
      <c r="AB39" s="2367"/>
      <c r="AC39" s="2297"/>
      <c r="AD39" s="2317"/>
      <c r="AE39" s="2318"/>
      <c r="AF39" s="2280"/>
      <c r="AG39" s="2368"/>
      <c r="AH39" s="2367" t="s">
        <v>543</v>
      </c>
      <c r="AI39" s="2367" t="s">
        <v>544</v>
      </c>
      <c r="AJ39" s="2367"/>
      <c r="AK39" s="2367" t="s">
        <v>545</v>
      </c>
      <c r="AL39" s="2367" t="s">
        <v>544</v>
      </c>
      <c r="AM39" s="2367"/>
      <c r="AN39" s="2297"/>
      <c r="AO39" s="2317"/>
      <c r="AP39" s="2318"/>
      <c r="AQ39" s="2280"/>
      <c r="AR39" s="2283"/>
      <c r="AS39" s="2129"/>
      <c r="AY39" s="1157">
        <v>19</v>
      </c>
    </row>
    <row customHeight="1" ht="62.25">
      <c r="A40" s="1372"/>
      <c r="B40" s="1372" t="s">
        <v>137</v>
      </c>
      <c r="C40" s="1372" t="s">
        <v>138</v>
      </c>
      <c r="D40" s="1372" t="s">
        <v>139</v>
      </c>
      <c r="E40" s="1366" t="s">
        <v>443</v>
      </c>
      <c r="F40" s="1366" t="s">
        <v>444</v>
      </c>
      <c r="G40" s="1366" t="s">
        <v>445</v>
      </c>
      <c r="H40" s="1366"/>
      <c r="I40" s="1366" t="s">
        <v>498</v>
      </c>
      <c r="J40" s="1366" t="s">
        <v>448</v>
      </c>
      <c r="K40" s="1366" t="s">
        <v>499</v>
      </c>
      <c r="L40" s="1366" t="s">
        <v>424</v>
      </c>
      <c r="Q40" s="378"/>
      <c r="R40" s="378"/>
      <c r="S40" s="2275"/>
      <c r="T40" s="2211"/>
      <c r="U40" s="304"/>
      <c r="V40" s="2368"/>
      <c r="W40" s="2367"/>
      <c r="X40" s="1985" t="s">
        <v>546</v>
      </c>
      <c r="Y40" s="1985" t="s">
        <v>547</v>
      </c>
      <c r="Z40" s="2367"/>
      <c r="AA40" s="1985" t="s">
        <v>548</v>
      </c>
      <c r="AB40" s="1985" t="s">
        <v>549</v>
      </c>
      <c r="AC40" s="1491" t="s">
        <v>452</v>
      </c>
      <c r="AD40" s="2272" t="s">
        <v>453</v>
      </c>
      <c r="AE40" s="2273"/>
      <c r="AF40" s="2281"/>
      <c r="AG40" s="2368"/>
      <c r="AH40" s="2367"/>
      <c r="AI40" s="1985" t="s">
        <v>546</v>
      </c>
      <c r="AJ40" s="1985" t="s">
        <v>547</v>
      </c>
      <c r="AK40" s="2367"/>
      <c r="AL40" s="1985" t="s">
        <v>548</v>
      </c>
      <c r="AM40" s="1985" t="s">
        <v>549</v>
      </c>
      <c r="AN40" s="1491" t="s">
        <v>452</v>
      </c>
      <c r="AO40" s="2272" t="s">
        <v>453</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111</v>
      </c>
      <c r="T41" s="1257" t="s">
        <v>112</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265</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125</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265</v>
      </c>
      <c r="B43" s="1365" t="s">
        <v>266</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406</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407</v>
      </c>
      <c r="AU43" s="502"/>
      <c r="AV43" s="502" t="str">
        <f>IF(T43="","",T43)</f>
        <v>Территория действия тарифа</v>
      </c>
      <c r="AW43" s="502"/>
      <c r="AX43" s="502"/>
      <c r="AY43" s="1157">
        <v>23</v>
      </c>
    </row>
    <row customHeight="1" ht="24">
      <c r="A44" s="1365" t="s">
        <v>265</v>
      </c>
      <c r="B44" s="1365" t="s">
        <v>266</v>
      </c>
      <c r="C44" s="1365" t="s">
        <v>267</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538</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539</v>
      </c>
      <c r="AU44" s="502"/>
      <c r="AV44" s="502" t="str">
        <f>IF(T44="","",T44)</f>
        <v>Наименование централизованной системы горячего водоснабжения</v>
      </c>
      <c r="AW44" s="502"/>
      <c r="AX44" s="502"/>
      <c r="AY44" s="1157">
        <v>23</v>
      </c>
    </row>
    <row customHeight="1" ht="24">
      <c r="A45" s="1365" t="s">
        <v>265</v>
      </c>
      <c r="B45" s="1365" t="s">
        <v>266</v>
      </c>
      <c r="C45" s="1365" t="s">
        <v>267</v>
      </c>
      <c r="D45" s="1365" t="s">
        <v>551</v>
      </c>
      <c r="E45" s="2261"/>
      <c r="F45" s="2261"/>
      <c r="G45" s="2261"/>
      <c r="H45" s="2261"/>
      <c r="I45" s="2258" t="str">
        <f>S44&amp;".1"</f>
        <v>...1</v>
      </c>
      <c r="J45" s="1365"/>
      <c r="K45" s="1365"/>
      <c r="L45" s="1366"/>
      <c r="P45" s="2259">
        <v>1</v>
      </c>
      <c r="Q45" s="1483"/>
      <c r="R45" s="358"/>
      <c r="S45" s="1495" t="str">
        <f>$I45</f>
        <v>...1</v>
      </c>
      <c r="T45" s="287" t="s">
        <v>491</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492</v>
      </c>
      <c r="AU45" s="502"/>
      <c r="AV45" s="502" t="str">
        <f>IF(T45="","",T45)</f>
        <v>Наименование признака дифференциации</v>
      </c>
      <c r="AW45" s="502"/>
      <c r="AX45" s="502"/>
      <c r="AY45" s="1157">
        <v>23</v>
      </c>
    </row>
    <row customHeight="1" ht="24">
      <c r="A46" s="1365" t="s">
        <v>265</v>
      </c>
      <c r="B46" s="1365" t="s">
        <v>266</v>
      </c>
      <c r="C46" s="1365" t="s">
        <v>267</v>
      </c>
      <c r="D46" s="1365" t="s">
        <v>551</v>
      </c>
      <c r="E46" s="2261"/>
      <c r="F46" s="2261"/>
      <c r="G46" s="2261"/>
      <c r="H46" s="2261"/>
      <c r="I46" s="2288"/>
      <c r="J46" s="2258" t="str">
        <f>I45&amp;".1"</f>
        <v>...1.1</v>
      </c>
      <c r="K46" s="1365"/>
      <c r="L46" s="1366" t="s">
        <v>415</v>
      </c>
      <c r="P46" s="2259"/>
      <c r="Q46" s="2259">
        <v>1</v>
      </c>
      <c r="R46" s="359"/>
      <c r="S46" s="1495" t="str">
        <f>$J46</f>
        <v>...1.1</v>
      </c>
      <c r="T46" s="288" t="s">
        <v>416</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493</v>
      </c>
      <c r="AU46" s="502"/>
      <c r="AV46" s="502" t="str">
        <f>IF(T46="","",T46)</f>
        <v>Группа потребителей</v>
      </c>
      <c r="AW46" s="502"/>
      <c r="AX46" s="502"/>
      <c r="AY46" s="1157">
        <v>23</v>
      </c>
    </row>
    <row customHeight="1" ht="24">
      <c r="A47" s="1365" t="s">
        <v>265</v>
      </c>
      <c r="B47" s="1365" t="s">
        <v>266</v>
      </c>
      <c r="C47" s="1365" t="s">
        <v>267</v>
      </c>
      <c r="D47" s="1365" t="s">
        <v>551</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68</v>
      </c>
      <c r="AE47" s="2269"/>
      <c r="AF47" s="2270" t="s">
        <v>68</v>
      </c>
      <c r="AG47" s="753"/>
      <c r="AH47" s="753"/>
      <c r="AI47" s="753"/>
      <c r="AJ47" s="753"/>
      <c r="AK47" s="753"/>
      <c r="AL47" s="753"/>
      <c r="AM47" s="1259"/>
      <c r="AN47" s="2267"/>
      <c r="AO47" s="2109" t="s">
        <v>68</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265</v>
      </c>
      <c r="B48" s="1365" t="s">
        <v>266</v>
      </c>
      <c r="C48" s="1365" t="s">
        <v>267</v>
      </c>
      <c r="D48" s="1365" t="s">
        <v>551</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265</v>
      </c>
      <c r="B49" s="1365" t="s">
        <v>266</v>
      </c>
      <c r="C49" s="1365" t="s">
        <v>267</v>
      </c>
      <c r="D49" s="1365" t="s">
        <v>551</v>
      </c>
      <c r="E49" s="2261"/>
      <c r="F49" s="2261"/>
      <c r="G49" s="2261"/>
      <c r="H49" s="2261"/>
      <c r="I49" s="2288"/>
      <c r="J49" s="2258"/>
      <c r="K49" s="1365"/>
      <c r="L49" s="1366"/>
      <c r="P49" s="2259"/>
      <c r="Q49" s="2259"/>
      <c r="R49" s="358"/>
      <c r="S49" s="1280"/>
      <c r="T49" s="289" t="s">
        <v>494</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495</v>
      </c>
      <c r="AU49" s="502"/>
      <c r="AV49" s="502" t="str">
        <f>IF(T49="","",T49)</f>
        <v>Добавить значение признака дифференциации</v>
      </c>
      <c r="AW49" s="502"/>
      <c r="AX49" s="502"/>
      <c r="AY49" s="1157">
        <v>20</v>
      </c>
    </row>
    <row customHeight="1" ht="21.75">
      <c r="A50" s="1365" t="s">
        <v>265</v>
      </c>
      <c r="B50" s="1365" t="s">
        <v>266</v>
      </c>
      <c r="C50" s="1365" t="s">
        <v>267</v>
      </c>
      <c r="D50" s="1365" t="s">
        <v>551</v>
      </c>
      <c r="E50" s="2261"/>
      <c r="F50" s="2261"/>
      <c r="G50" s="2261"/>
      <c r="H50" s="2261"/>
      <c r="I50" s="2258"/>
      <c r="J50" s="1365"/>
      <c r="K50" s="1365"/>
      <c r="L50" s="1366"/>
      <c r="P50" s="2259"/>
      <c r="Q50" s="1483"/>
      <c r="R50" s="358"/>
      <c r="S50" s="1280"/>
      <c r="T50" s="367" t="s">
        <v>421</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265</v>
      </c>
      <c r="B51" s="1365" t="s">
        <v>266</v>
      </c>
      <c r="C51" s="1365" t="s">
        <v>267</v>
      </c>
      <c r="D51" s="1365" t="s">
        <v>551</v>
      </c>
      <c r="E51" s="2261"/>
      <c r="F51" s="2261"/>
      <c r="G51" s="2261"/>
      <c r="H51" s="2260"/>
      <c r="I51" s="1365"/>
      <c r="J51" s="1365"/>
      <c r="K51" s="1365"/>
      <c r="L51" s="1366"/>
      <c r="M51" s="1367"/>
      <c r="N51" s="1367"/>
      <c r="O51" s="539"/>
      <c r="P51" s="362"/>
      <c r="Q51" s="377"/>
      <c r="R51" s="357"/>
      <c r="S51" s="1280"/>
      <c r="T51" s="374" t="s">
        <v>496</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265</v>
      </c>
      <c r="B52" s="1345" t="s">
        <v>266</v>
      </c>
      <c r="C52" s="1316"/>
      <c r="D52" s="1316"/>
      <c r="E52" s="2261"/>
      <c r="F52" s="2260"/>
      <c r="G52" s="1316"/>
      <c r="H52" s="1316"/>
      <c r="I52" s="1316"/>
      <c r="J52" s="1316"/>
      <c r="K52" s="1316"/>
      <c r="L52" s="1496"/>
      <c r="M52" s="1323"/>
      <c r="N52" s="1323"/>
      <c r="P52" s="1318"/>
      <c r="Q52" s="1319"/>
      <c r="R52" s="1318"/>
      <c r="S52" s="1324"/>
      <c r="T52" s="1327" t="s">
        <v>173</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265</v>
      </c>
      <c r="B53" s="1345"/>
      <c r="C53" s="1345"/>
      <c r="D53" s="1345"/>
      <c r="E53" s="2260"/>
      <c r="F53" s="1345"/>
      <c r="G53" s="1345"/>
      <c r="H53" s="1345"/>
      <c r="I53" s="1345"/>
      <c r="J53" s="1345"/>
      <c r="K53" s="1345"/>
      <c r="L53" s="1348"/>
      <c r="M53" s="1323"/>
      <c r="N53" s="1323"/>
      <c r="O53" s="520"/>
      <c r="P53" s="382"/>
      <c r="Q53" s="1346"/>
      <c r="R53" s="382"/>
      <c r="S53" s="1324"/>
      <c r="T53" s="1327" t="s">
        <v>174</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175</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84</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9C8735-B533-B7ED-E864-0.643EAEE}"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406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407</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538</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539</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411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412</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68</v>
      </c>
      <c r="AB8" s="1736"/>
      <c r="AC8" s="1471" t="s">
        <v>68</v>
      </c>
      <c r="AD8" s="2187" t="s">
        <v>68</v>
      </c>
      <c r="AE8" s="2328"/>
      <c r="AF8" s="2207">
        <v>1</v>
      </c>
      <c r="AG8" s="2365"/>
      <c r="AH8" s="2109" t="s">
        <v>68</v>
      </c>
      <c r="AI8" s="2328"/>
      <c r="AJ8" s="2207">
        <v>1</v>
      </c>
      <c r="AK8" s="2329" t="s">
        <v>28</v>
      </c>
      <c r="AL8" s="2109" t="s">
        <v>68</v>
      </c>
      <c r="AM8" s="2194"/>
      <c r="AN8" s="2207">
        <v>1</v>
      </c>
      <c r="AO8" s="2359"/>
      <c r="AP8" s="2360" t="s">
        <v>68</v>
      </c>
      <c r="AQ8" s="313"/>
      <c r="AR8" s="1488">
        <v>1</v>
      </c>
      <c r="AS8" s="1494" t="s">
        <v>28</v>
      </c>
      <c r="AT8" s="753"/>
      <c r="AU8" s="1259"/>
      <c r="AV8" s="753"/>
      <c r="AW8" s="1259"/>
      <c r="AX8" s="1736"/>
      <c r="AY8" s="1471" t="s">
        <v>68</v>
      </c>
      <c r="AZ8" s="1736"/>
      <c r="BA8" s="1471" t="s">
        <v>68</v>
      </c>
      <c r="BB8" s="1350"/>
      <c r="BC8" s="2255" t="s">
        <v>509</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510</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511</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512</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513</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476</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173</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174</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68</v>
      </c>
      <c r="AZ20" s="1738"/>
      <c r="BA20" s="1487" t="s">
        <v>68</v>
      </c>
      <c r="BI20" s="1157">
        <v>0</v>
      </c>
    </row>
    <row customHeight="1" ht="14.25" hidden="1">
      <c r="BD21" s="498"/>
      <c r="BE21" s="498"/>
      <c r="BF21" s="498"/>
      <c r="BG21" s="498"/>
      <c r="BH21" s="498"/>
      <c r="BI21" s="1157">
        <v>0</v>
      </c>
    </row>
    <row customHeight="1" ht="14.25" hidden="1">
      <c r="O22" s="1369" t="s">
        <v>423</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424</v>
      </c>
      <c r="P24" s="1510"/>
      <c r="Q24" s="1512"/>
      <c r="R24" s="1512"/>
      <c r="AA24" s="1509" t="s">
        <v>426</v>
      </c>
      <c r="AC24" s="1509" t="s">
        <v>427</v>
      </c>
      <c r="AD24" s="1509" t="s">
        <v>477</v>
      </c>
      <c r="AH24" s="1509" t="s">
        <v>477</v>
      </c>
      <c r="AK24" s="1509" t="s">
        <v>514</v>
      </c>
      <c r="AL24" s="1509" t="s">
        <v>477</v>
      </c>
      <c r="AP24" s="1509" t="s">
        <v>477</v>
      </c>
      <c r="AY24" s="1509" t="s">
        <v>426</v>
      </c>
      <c r="BA24" s="1509" t="s">
        <v>427</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43</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429</v>
      </c>
      <c r="T32" s="2252"/>
      <c r="U32" s="1374"/>
      <c r="V32" s="2266" t="str">
        <f>IF(TITLE_DATE_PR_CHANGE="",IF(TITLE_DATE_PR="","",TITLE_DATE_PR),TITLE_DATE_PR_CHANGE)</f>
        <v>46141.35650462963</v>
      </c>
      <c r="W32" s="2266"/>
      <c r="X32" s="2266"/>
      <c r="Y32" s="2266"/>
      <c r="Z32" s="2266"/>
      <c r="AA32" s="2266"/>
      <c r="AB32" s="2266"/>
      <c r="AC32" s="328"/>
      <c r="AD32" s="2266" t="str">
        <f>IF(TITLE_DATE_PR_CHANGE="",IF(TITLE_DATE_PR="","",TITLE_DATE_PR),TITLE_DATE_PR_CHANGE)</f>
        <v>46141.35650462963</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430</v>
      </c>
      <c r="T33" s="2252"/>
      <c r="U33" s="1374"/>
      <c r="V33" s="2253" t="str">
        <f>IF(TITLE_NUMBER_PR_CHANGE="",IF(TITLE_NUMBER_PR="","",TITLE_NUMBER_PR),TITLE_NUMBER_PR_CHANGE)</f>
        <v>вх. О-1106 (исх. №382 от 29.04.2026)</v>
      </c>
      <c r="W33" s="2253"/>
      <c r="X33" s="2253"/>
      <c r="Y33" s="2253"/>
      <c r="Z33" s="2253"/>
      <c r="AA33" s="2253"/>
      <c r="AB33" s="2253"/>
      <c r="AC33" s="328"/>
      <c r="AD33" s="2253" t="str">
        <f>IF(TITLE_NUMBER_PR_CHANGE="",IF(TITLE_NUMBER_PR="","",TITLE_NUMBER_PR),TITLE_NUMBER_PR_CHANGE)</f>
        <v>вх. О-1106 (исх. №382 от 29.04.2026)</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44</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429</v>
      </c>
      <c r="T36" s="2252"/>
      <c r="U36" s="1374"/>
      <c r="V36" s="2266" t="str">
        <f>IF(TITLE_DATE_PR_CHANGE="",IF(TITLE_DATE_PR="","",TITLE_DATE_PR),TITLE_DATE_PR_CHANGE)</f>
        <v>46141.35650462963</v>
      </c>
      <c r="W36" s="2266"/>
      <c r="X36" s="2266"/>
      <c r="Y36" s="2266"/>
      <c r="Z36" s="2266"/>
      <c r="AA36" s="2266"/>
      <c r="AB36" s="2266"/>
      <c r="AC36" s="328"/>
      <c r="AD36" s="2266" t="str">
        <f>IF(TITLE_DATE_PR_CHANGE="",IF(TITLE_DATE_PR="","",TITLE_DATE_PR),TITLE_DATE_PR_CHANGE)</f>
        <v>46141.35650462963</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430</v>
      </c>
      <c r="T37" s="2252"/>
      <c r="U37" s="1374"/>
      <c r="V37" s="2253" t="str">
        <f>IF(TITLE_NUMBER_PR_CHANGE="",IF(TITLE_NUMBER_PR="","",TITLE_NUMBER_PR),TITLE_NUMBER_PR_CHANGE)</f>
        <v>вх. О-1106 (исх. №382 от 29.04.2026)</v>
      </c>
      <c r="W37" s="2253"/>
      <c r="X37" s="2253"/>
      <c r="Y37" s="2253"/>
      <c r="Z37" s="2253"/>
      <c r="AA37" s="2253"/>
      <c r="AB37" s="2253"/>
      <c r="AC37" s="328"/>
      <c r="AD37" s="2253" t="str">
        <f>IF(TITLE_NUMBER_PR_CHANGE="",IF(TITLE_NUMBER_PR="","",TITLE_NUMBER_PR),TITLE_NUMBER_PR_CHANGE)</f>
        <v>вх. О-1106 (исх. №382 от 29.04.2026)</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433</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433</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310</v>
      </c>
      <c r="BI40" s="1157">
        <v>14</v>
      </c>
    </row>
    <row customHeight="1" ht="15">
      <c r="Q41" s="293"/>
      <c r="R41" s="378"/>
      <c r="S41" s="2275" t="s">
        <v>90</v>
      </c>
      <c r="T41" s="2211" t="s">
        <v>515</v>
      </c>
      <c r="U41" s="303"/>
      <c r="V41" s="2276" t="s">
        <v>435</v>
      </c>
      <c r="W41" s="2277"/>
      <c r="X41" s="2277"/>
      <c r="Y41" s="2277"/>
      <c r="Z41" s="2277"/>
      <c r="AA41" s="2277"/>
      <c r="AB41" s="2278"/>
      <c r="AC41" s="2279" t="s">
        <v>436</v>
      </c>
      <c r="AD41" s="2330" t="s">
        <v>516</v>
      </c>
      <c r="AE41" s="2293"/>
      <c r="AF41" s="2293"/>
      <c r="AG41" s="2331"/>
      <c r="AH41" s="2330" t="s">
        <v>517</v>
      </c>
      <c r="AI41" s="2293"/>
      <c r="AJ41" s="2293"/>
      <c r="AK41" s="2331"/>
      <c r="AL41" s="2330" t="s">
        <v>518</v>
      </c>
      <c r="AM41" s="2293"/>
      <c r="AN41" s="2293"/>
      <c r="AO41" s="2331"/>
      <c r="AP41" s="2330" t="s">
        <v>519</v>
      </c>
      <c r="AQ41" s="2293"/>
      <c r="AR41" s="2293"/>
      <c r="AS41" s="2331"/>
      <c r="AT41" s="2276" t="s">
        <v>435</v>
      </c>
      <c r="AU41" s="2277"/>
      <c r="AV41" s="2277"/>
      <c r="AW41" s="2277"/>
      <c r="AX41" s="2277"/>
      <c r="AY41" s="2277"/>
      <c r="AZ41" s="2278"/>
      <c r="BA41" s="2279" t="s">
        <v>436</v>
      </c>
      <c r="BB41" s="2282" t="s">
        <v>438</v>
      </c>
      <c r="BC41" s="2129"/>
      <c r="BI41" s="1157">
        <v>14</v>
      </c>
    </row>
    <row customHeight="1" ht="36">
      <c r="Q42" s="293"/>
      <c r="R42" s="378"/>
      <c r="S42" s="2275"/>
      <c r="T42" s="2211"/>
      <c r="U42" s="1033"/>
      <c r="V42" s="2194" t="s">
        <v>520</v>
      </c>
      <c r="W42" s="2195"/>
      <c r="X42" s="2194" t="s">
        <v>521</v>
      </c>
      <c r="Y42" s="2195"/>
      <c r="Z42" s="2296" t="s">
        <v>522</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520</v>
      </c>
      <c r="AU42" s="2195"/>
      <c r="AV42" s="2194" t="s">
        <v>521</v>
      </c>
      <c r="AW42" s="2195"/>
      <c r="AX42" s="2296" t="s">
        <v>522</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443</v>
      </c>
      <c r="F44" s="1366" t="s">
        <v>444</v>
      </c>
      <c r="G44" s="1366" t="s">
        <v>445</v>
      </c>
      <c r="H44" s="1366" t="s">
        <v>446</v>
      </c>
      <c r="I44" s="1366" t="s">
        <v>447</v>
      </c>
      <c r="J44" s="1366" t="s">
        <v>448</v>
      </c>
      <c r="K44" s="1366" t="s">
        <v>449</v>
      </c>
      <c r="L44" s="1366" t="s">
        <v>424</v>
      </c>
      <c r="Q44" s="293"/>
      <c r="R44" s="378"/>
      <c r="S44" s="2275"/>
      <c r="T44" s="2211"/>
      <c r="U44" s="304"/>
      <c r="V44" s="1481" t="s">
        <v>486</v>
      </c>
      <c r="W44" s="1481" t="s">
        <v>487</v>
      </c>
      <c r="X44" s="1481" t="s">
        <v>486</v>
      </c>
      <c r="Y44" s="1481" t="s">
        <v>487</v>
      </c>
      <c r="Z44" s="1491" t="s">
        <v>452</v>
      </c>
      <c r="AA44" s="2272" t="s">
        <v>453</v>
      </c>
      <c r="AB44" s="2273"/>
      <c r="AC44" s="2281"/>
      <c r="AD44" s="2335"/>
      <c r="AE44" s="2336"/>
      <c r="AF44" s="2336"/>
      <c r="AG44" s="2337"/>
      <c r="AH44" s="2335"/>
      <c r="AI44" s="2336"/>
      <c r="AJ44" s="2336"/>
      <c r="AK44" s="2337"/>
      <c r="AL44" s="2335"/>
      <c r="AM44" s="2336"/>
      <c r="AN44" s="2336"/>
      <c r="AO44" s="2337"/>
      <c r="AP44" s="2335"/>
      <c r="AQ44" s="2336"/>
      <c r="AR44" s="2336"/>
      <c r="AS44" s="2337"/>
      <c r="AT44" s="1481" t="s">
        <v>486</v>
      </c>
      <c r="AU44" s="1481" t="s">
        <v>487</v>
      </c>
      <c r="AV44" s="1481" t="s">
        <v>486</v>
      </c>
      <c r="AW44" s="1481" t="s">
        <v>487</v>
      </c>
      <c r="AX44" s="1491" t="s">
        <v>452</v>
      </c>
      <c r="AY44" s="2272" t="s">
        <v>453</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111</v>
      </c>
      <c r="T45" s="1257" t="s">
        <v>112</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270</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270</v>
      </c>
      <c r="B47" s="1365" t="s">
        <v>271</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406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407</v>
      </c>
      <c r="BE47" s="502"/>
      <c r="BF47" s="502" t="str">
        <f>IF(T47="","",T47)</f>
        <v>Территория действия тарифа</v>
      </c>
      <c r="BG47" s="502"/>
      <c r="BH47" s="502"/>
      <c r="BI47" s="1157">
        <v>21</v>
      </c>
    </row>
    <row customHeight="1" ht="36">
      <c r="A48" s="1365" t="s">
        <v>270</v>
      </c>
      <c r="B48" s="1365" t="s">
        <v>271</v>
      </c>
      <c r="C48" s="1365" t="s">
        <v>272</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538</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539</v>
      </c>
      <c r="BE48" s="502"/>
      <c r="BF48" s="502" t="str">
        <f>IF(T48="","",T48)</f>
        <v>Наименование централизованной системы горячего водоснабжения</v>
      </c>
      <c r="BG48" s="502"/>
      <c r="BH48" s="502"/>
      <c r="BI48" s="1157">
        <v>34</v>
      </c>
    </row>
    <row s="1644" customFormat="1" customHeight="1" ht="0">
      <c r="A49" s="1345" t="s">
        <v>270</v>
      </c>
      <c r="B49" s="1345" t="s">
        <v>271</v>
      </c>
      <c r="C49" s="1345" t="s">
        <v>272</v>
      </c>
      <c r="D49" s="1345" t="s">
        <v>552</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411</v>
      </c>
      <c r="BE49" s="502"/>
      <c r="BF49" s="502" t="str">
        <f>IF(T49="","",T49)</f>
        <v/>
      </c>
      <c r="BG49" s="502"/>
      <c r="BH49" s="502"/>
      <c r="BI49" s="513">
        <v>0</v>
      </c>
    </row>
    <row s="1644" customFormat="1" customHeight="1" ht="0">
      <c r="A50" s="1345" t="s">
        <v>270</v>
      </c>
      <c r="B50" s="1345" t="s">
        <v>271</v>
      </c>
      <c r="C50" s="1345" t="s">
        <v>272</v>
      </c>
      <c r="D50" s="1345" t="s">
        <v>552</v>
      </c>
      <c r="E50" s="2261"/>
      <c r="F50" s="2261"/>
      <c r="G50" s="2261"/>
      <c r="H50" s="2261"/>
      <c r="I50" s="2258" t="str">
        <f>S49&amp;".1"</f>
        <v>.1</v>
      </c>
      <c r="J50" s="1345"/>
      <c r="K50" s="1345"/>
      <c r="L50" s="1348" t="s">
        <v>412</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270</v>
      </c>
      <c r="B51" s="1345" t="s">
        <v>271</v>
      </c>
      <c r="C51" s="1345" t="s">
        <v>272</v>
      </c>
      <c r="D51" s="1345" t="s">
        <v>552</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270</v>
      </c>
      <c r="B52" s="1365" t="s">
        <v>271</v>
      </c>
      <c r="C52" s="1365" t="s">
        <v>272</v>
      </c>
      <c r="D52" s="1365" t="s">
        <v>552</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68</v>
      </c>
      <c r="AB52" s="1736"/>
      <c r="AC52" s="1471" t="s">
        <v>68</v>
      </c>
      <c r="AD52" s="2187" t="s">
        <v>68</v>
      </c>
      <c r="AE52" s="2328"/>
      <c r="AF52" s="2207">
        <v>1</v>
      </c>
      <c r="AG52" s="2365"/>
      <c r="AH52" s="2109" t="s">
        <v>68</v>
      </c>
      <c r="AI52" s="2328"/>
      <c r="AJ52" s="2207">
        <v>1</v>
      </c>
      <c r="AK52" s="2329" t="s">
        <v>28</v>
      </c>
      <c r="AL52" s="2109" t="s">
        <v>68</v>
      </c>
      <c r="AM52" s="2194"/>
      <c r="AN52" s="2207">
        <v>1</v>
      </c>
      <c r="AO52" s="2359"/>
      <c r="AP52" s="2360" t="s">
        <v>68</v>
      </c>
      <c r="AQ52" s="313"/>
      <c r="AR52" s="1488">
        <v>1</v>
      </c>
      <c r="AS52" s="1494" t="s">
        <v>28</v>
      </c>
      <c r="AT52" s="753"/>
      <c r="AU52" s="1259"/>
      <c r="AV52" s="753"/>
      <c r="AW52" s="1259"/>
      <c r="AX52" s="1736"/>
      <c r="AY52" s="1471" t="s">
        <v>68</v>
      </c>
      <c r="AZ52" s="1736"/>
      <c r="BA52" s="1471" t="s">
        <v>68</v>
      </c>
      <c r="BB52" s="1350"/>
      <c r="BC52" s="2255" t="s">
        <v>509</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510</v>
      </c>
      <c r="AT53" s="1395"/>
      <c r="AU53" s="1498"/>
      <c r="AV53" s="1395"/>
      <c r="AW53" s="1498"/>
      <c r="AX53" s="1395"/>
      <c r="AY53" s="1395"/>
      <c r="AZ53" s="1395"/>
      <c r="BA53" s="1395"/>
      <c r="BB53" s="1399"/>
      <c r="BC53" s="2256"/>
      <c r="BE53" s="502"/>
      <c r="BF53" s="502"/>
      <c r="BG53" s="502"/>
      <c r="BH53" s="502"/>
      <c r="BI53" s="1157">
        <v>11</v>
      </c>
    </row>
    <row customHeight="1" ht="11.25">
      <c r="A54" s="1365" t="s">
        <v>270</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511</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270</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512</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270</v>
      </c>
      <c r="B56" s="1365" t="s">
        <v>271</v>
      </c>
      <c r="C56" s="1365" t="s">
        <v>272</v>
      </c>
      <c r="D56" s="1365" t="s">
        <v>552</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513</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270</v>
      </c>
      <c r="B57" s="1365" t="s">
        <v>271</v>
      </c>
      <c r="C57" s="1365" t="s">
        <v>272</v>
      </c>
      <c r="D57" s="1365" t="s">
        <v>552</v>
      </c>
      <c r="E57" s="2261"/>
      <c r="F57" s="2261"/>
      <c r="G57" s="2261"/>
      <c r="H57" s="2261"/>
      <c r="I57" s="2288"/>
      <c r="J57" s="2258"/>
      <c r="K57" s="1365"/>
      <c r="L57" s="1366"/>
      <c r="P57" s="2259"/>
      <c r="Q57" s="2259"/>
      <c r="R57" s="358"/>
      <c r="S57" s="1280"/>
      <c r="T57" s="289" t="s">
        <v>476</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270</v>
      </c>
      <c r="B58" s="1345" t="s">
        <v>271</v>
      </c>
      <c r="C58" s="1345" t="s">
        <v>272</v>
      </c>
      <c r="D58" s="1345" t="s">
        <v>552</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270</v>
      </c>
      <c r="B59" s="1345" t="s">
        <v>271</v>
      </c>
      <c r="C59" s="1345" t="s">
        <v>272</v>
      </c>
      <c r="D59" s="1345" t="s">
        <v>552</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270</v>
      </c>
      <c r="B60" s="1345" t="s">
        <v>271</v>
      </c>
      <c r="C60" s="1345" t="s">
        <v>272</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270</v>
      </c>
      <c r="B61" s="1345" t="s">
        <v>271</v>
      </c>
      <c r="C61" s="1316"/>
      <c r="D61" s="1316"/>
      <c r="E61" s="2261"/>
      <c r="F61" s="2260"/>
      <c r="G61" s="1316"/>
      <c r="H61" s="1316"/>
      <c r="I61" s="1316"/>
      <c r="J61" s="1316"/>
      <c r="K61" s="1316"/>
      <c r="L61" s="1496"/>
      <c r="M61" s="1323"/>
      <c r="N61" s="1323"/>
      <c r="P61" s="1318"/>
      <c r="Q61" s="1319"/>
      <c r="R61" s="1318"/>
      <c r="S61" s="1324"/>
      <c r="T61" s="1327" t="s">
        <v>173</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270</v>
      </c>
      <c r="B62" s="1345"/>
      <c r="C62" s="1345"/>
      <c r="D62" s="1345"/>
      <c r="E62" s="2260"/>
      <c r="F62" s="1345"/>
      <c r="G62" s="1345"/>
      <c r="H62" s="1345"/>
      <c r="I62" s="1345"/>
      <c r="J62" s="1345"/>
      <c r="K62" s="1345"/>
      <c r="L62" s="1348"/>
      <c r="M62" s="1323"/>
      <c r="N62" s="1323"/>
      <c r="O62" s="520"/>
      <c r="P62" s="382"/>
      <c r="Q62" s="1346"/>
      <c r="R62" s="382"/>
      <c r="S62" s="1324"/>
      <c r="T62" s="1327" t="s">
        <v>174</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175</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84</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753769-00D5-5A7D-69F3-0.13575C08}"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553</v>
      </c>
      <c r="D2" s="1640"/>
      <c r="E2" s="548">
        <f>B2</f>
        <v>0</v>
      </c>
      <c r="F2" s="549"/>
      <c r="G2" s="1648" t="s">
        <v>554</v>
      </c>
      <c r="H2" s="1648" t="s">
        <v>554</v>
      </c>
      <c r="I2" s="1648" t="s">
        <v>554</v>
      </c>
      <c r="J2" s="291" t="s">
        <v>555</v>
      </c>
      <c r="K2" s="545"/>
      <c r="AF2" s="1633">
        <v>0</v>
      </c>
    </row>
    <row s="1644" customFormat="1" customHeight="1" ht="0.75" hidden="1">
      <c r="B3" s="2101"/>
      <c r="C3" s="1169"/>
      <c r="D3" s="550"/>
      <c r="E3" s="551"/>
      <c r="F3" s="552" t="s">
        <v>556</v>
      </c>
      <c r="G3" s="553"/>
      <c r="H3" s="553">
        <f>H4*H5+H7</f>
        <v>0</v>
      </c>
      <c r="I3" s="553">
        <f>I4*I5+I6</f>
        <v>0</v>
      </c>
      <c r="J3" s="554"/>
      <c r="AF3" s="1638">
        <v>0</v>
      </c>
    </row>
    <row customHeight="1" ht="23.25" hidden="1">
      <c r="B4" s="2101"/>
      <c r="C4" s="1169"/>
      <c r="D4" s="1640"/>
      <c r="E4" s="548" t="str">
        <f>B2&amp;".1"</f>
        <v>.1</v>
      </c>
      <c r="F4" s="555" t="s">
        <v>557</v>
      </c>
      <c r="G4" s="556"/>
      <c r="H4" s="543"/>
      <c r="I4" s="543"/>
      <c r="J4" s="291" t="s">
        <v>558</v>
      </c>
      <c r="K4" s="545"/>
      <c r="AF4" s="1633">
        <v>0</v>
      </c>
    </row>
    <row customHeight="1" ht="18.75" hidden="1">
      <c r="B5" s="2101"/>
      <c r="C5" s="1169"/>
      <c r="D5" s="1640"/>
      <c r="E5" s="548" t="str">
        <f>B2&amp;".2"</f>
        <v>.2</v>
      </c>
      <c r="F5" s="555" t="s">
        <v>559</v>
      </c>
      <c r="G5" s="1648" t="s">
        <v>560</v>
      </c>
      <c r="H5" s="543"/>
      <c r="I5" s="543"/>
      <c r="J5" s="291"/>
      <c r="K5" s="545"/>
      <c r="AF5" s="1633">
        <v>0</v>
      </c>
    </row>
    <row customHeight="1" ht="18.75" hidden="1">
      <c r="B6" s="2101"/>
      <c r="C6" s="1169"/>
      <c r="D6" s="1640"/>
      <c r="E6" s="548" t="str">
        <f>B2&amp;".3"</f>
        <v>.3</v>
      </c>
      <c r="F6" s="555" t="s">
        <v>561</v>
      </c>
      <c r="G6" s="1648" t="s">
        <v>560</v>
      </c>
      <c r="H6" s="543"/>
      <c r="I6" s="543"/>
      <c r="J6" s="291"/>
      <c r="K6" s="545"/>
      <c r="AF6" s="1633">
        <v>0</v>
      </c>
    </row>
    <row customHeight="1" ht="18.75" hidden="1">
      <c r="B7" s="2101"/>
      <c r="C7" s="1169"/>
      <c r="D7" s="1640"/>
      <c r="E7" s="548" t="str">
        <f>B2&amp;".4"</f>
        <v>.4</v>
      </c>
      <c r="F7" s="555" t="s">
        <v>562</v>
      </c>
      <c r="G7" s="1648" t="s">
        <v>554</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560</v>
      </c>
      <c r="H9" s="543"/>
      <c r="I9" s="543"/>
      <c r="J9" s="544" t="s">
        <v>563</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564</v>
      </c>
      <c r="H11" s="543"/>
      <c r="I11" s="543"/>
      <c r="J11" s="291" t="s">
        <v>565</v>
      </c>
      <c r="K11" s="545"/>
      <c r="AF11" s="1633">
        <v>0</v>
      </c>
    </row>
    <row customHeight="1" ht="11.25" hidden="1">
      <c r="AF12" s="1633">
        <v>0</v>
      </c>
    </row>
    <row customHeight="1" ht="22.5" hidden="1">
      <c r="D13" s="1640"/>
      <c r="E13" s="548"/>
      <c r="F13" s="542"/>
      <c r="G13" s="971" t="s">
        <v>566</v>
      </c>
      <c r="H13" s="547"/>
      <c r="I13" s="547"/>
      <c r="J13" s="747" t="s">
        <v>567</v>
      </c>
      <c r="K13" s="545"/>
      <c r="AF13" s="1633">
        <v>0</v>
      </c>
    </row>
    <row customHeight="1" ht="11.25" hidden="1">
      <c r="AF14" s="1633">
        <v>0</v>
      </c>
    </row>
    <row customHeight="1" ht="22.5" hidden="1">
      <c r="D15" s="1640"/>
      <c r="E15" s="548"/>
      <c r="F15" s="542"/>
      <c r="G15" s="1648" t="s">
        <v>568</v>
      </c>
      <c r="H15" s="547"/>
      <c r="I15" s="547"/>
      <c r="J15" s="291" t="s">
        <v>569</v>
      </c>
      <c r="K15" s="545"/>
      <c r="AF15" s="1633">
        <v>0</v>
      </c>
    </row>
    <row customHeight="1" ht="11.25" hidden="1">
      <c r="AF16" s="1633">
        <v>0</v>
      </c>
    </row>
    <row customHeight="1" ht="22.5" hidden="1">
      <c r="D17" s="1640"/>
      <c r="E17" s="548"/>
      <c r="F17" s="542"/>
      <c r="G17" s="1648" t="s">
        <v>570</v>
      </c>
      <c r="H17" s="547"/>
      <c r="I17" s="547"/>
      <c r="J17" s="291" t="s">
        <v>571</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119</v>
      </c>
      <c r="AF24" s="1638">
        <v>1</v>
      </c>
    </row>
    <row customHeight="1" ht="11.25">
      <c r="E25" s="713"/>
      <c r="F25" s="2369" t="s">
        <v>107</v>
      </c>
      <c r="G25" s="2370"/>
      <c r="H25" s="1654" t="str">
        <f>IF(H24="","",INDEX(DIFFERENTIATION_UNMERGE_VD,MATCH(H24,DIFFERENTIATION_ID_DIFF,0)))</f>
        <v/>
      </c>
      <c r="I25" s="1654">
        <f>IF(I24="","",INDEX(DIFFERENTIATION_UNMERGE_VD,MATCH(I24,DIFFERENTIATION_ID_DIFF,0)))</f>
        <v>0</v>
      </c>
      <c r="J25" s="2129"/>
      <c r="AF25" s="1633">
        <v>11</v>
      </c>
    </row>
    <row customHeight="1" ht="11.25">
      <c r="E26" s="713"/>
      <c r="F26" s="2369" t="s">
        <v>572</v>
      </c>
      <c r="G26" s="2370"/>
      <c r="H26" s="1654" t="str">
        <f>IF(H24="","",INDEX(DIFFERENTIATION_UNMERGE_AREA,MATCH(H24,DIFFERENTIATION_ID_DIFF,0)))</f>
        <v/>
      </c>
      <c r="I26" s="1654" t="str">
        <f>IF(I24="","",INDEX(DIFFERENTIATION_UNMERGE_AREA,MATCH(I24,DIFFERENTIATION_ID_DIFF,0)))</f>
        <v/>
      </c>
      <c r="J26" s="2129"/>
      <c r="AF26" s="1633">
        <v>11</v>
      </c>
    </row>
    <row customHeight="1" ht="11.25">
      <c r="E27" s="713"/>
      <c r="F27" s="2369" t="s">
        <v>573</v>
      </c>
      <c r="G27" s="2370"/>
      <c r="H27" s="1654" t="str">
        <f>IF(H24="","",INDEX(DIFFERENTIATION_UNMERGE_SYSTEM,MATCH(H24,DIFFERENTIATION_ID_DIFF,0)))</f>
        <v/>
      </c>
      <c r="I27" s="1654" t="str">
        <f>IF(I24="","",INDEX(DIFFERENTIATION_UNMERGE_SYSTEM,MATCH(I24,DIFFERENTIATION_ID_DIFF,0)))</f>
        <v>без дифференциации</v>
      </c>
      <c r="J27" s="2129"/>
      <c r="AF27" s="1633">
        <v>11</v>
      </c>
    </row>
    <row customHeight="1" ht="11.25">
      <c r="E28" s="2371" t="s">
        <v>309</v>
      </c>
      <c r="F28" s="2372"/>
      <c r="G28" s="2372"/>
      <c r="H28" s="1647"/>
      <c r="I28" s="1647"/>
      <c r="J28" s="2129"/>
      <c r="AF28" s="1633">
        <v>11</v>
      </c>
    </row>
    <row customHeight="1" ht="24">
      <c r="E29" s="1648" t="s">
        <v>90</v>
      </c>
      <c r="F29" s="1655" t="s">
        <v>311</v>
      </c>
      <c r="G29" s="1655" t="s">
        <v>574</v>
      </c>
      <c r="H29" s="1655" t="s">
        <v>312</v>
      </c>
      <c r="I29" s="1655" t="s">
        <v>312</v>
      </c>
      <c r="J29" s="2129"/>
      <c r="AF29" s="1633">
        <v>23</v>
      </c>
    </row>
    <row customHeight="1" ht="20.25">
      <c r="D30" s="1640"/>
      <c r="E30" s="548">
        <f>FHD_NUM_P_1</f>
        <v>1</v>
      </c>
      <c r="F30" s="1882" t="str">
        <f>FHD_P_1</f>
        <v>Выручка от регулируемого вида деятельности с распределением по видам деятельности</v>
      </c>
      <c r="G30" s="1880" t="s">
        <v>560</v>
      </c>
      <c r="H30" s="559"/>
      <c r="I30" s="559"/>
      <c r="J30" s="291" t="str">
        <f>FHD_NOTE_P_1</f>
        <v>Указывается выручка от регулируемого вида деятельности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регулируемому виду деятельности, включая:</v>
      </c>
      <c r="G31" s="1880" t="s">
        <v>560</v>
      </c>
      <c r="H31" s="560">
        <f>SUMIF($K33:$K71,$K31,H33:H71)</f>
        <v>0</v>
      </c>
      <c r="I31" s="560">
        <f>SUMIF($K33:$K71,$K31,I33:I71)</f>
        <v>0</v>
      </c>
      <c r="J31" s="291" t="str">
        <f>FHD_NOTE_P_2</f>
        <v>Указывается суммарная себестоимость производимых товаров.</v>
      </c>
      <c r="K31" s="1638" t="s">
        <v>575</v>
      </c>
      <c r="AF31" s="1633">
        <v>11</v>
      </c>
    </row>
    <row customHeight="1" ht="11.25">
      <c r="D32" s="1640"/>
      <c r="E32" s="548" t="str">
        <f>FHD_NUM_P_3</f>
        <v>2.1</v>
      </c>
      <c r="F32" s="1526" t="str">
        <f>FHD_P_3</f>
        <v>Расходы на приобретаемую тепловую энергию (мощность), теплоноситель</v>
      </c>
      <c r="G32" s="1880" t="s">
        <v>560</v>
      </c>
      <c r="H32" s="559"/>
      <c r="I32" s="559"/>
      <c r="J32" s="291" t="str">
        <f>FHD_NOTE_P_3</f>
        <v/>
      </c>
      <c r="K32" s="1638" t="str">
        <f>IF((LEN(E32)-LEN(SUBSTITUTE(E32,".","")))/LEN(".")=1,"p","")</f>
        <v>p</v>
      </c>
      <c r="AF32" s="1633">
        <v>11</v>
      </c>
    </row>
    <row customHeight="1" ht="11.25">
      <c r="A33" s="2373" t="s">
        <v>576</v>
      </c>
      <c r="D33" s="1640"/>
      <c r="E33" s="548" t="str">
        <f>FHD_NUM_P_4</f>
        <v>2.2</v>
      </c>
      <c r="F33" s="1526"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80" t="s">
        <v>560</v>
      </c>
      <c r="H33" s="560">
        <f>SUMIF($F34:$F40,$F3,H34:H40)</f>
        <v>0</v>
      </c>
      <c r="I33" s="560">
        <f>SUMIF($F34:$F40,$F3,I34:I40)</f>
        <v>0</v>
      </c>
      <c r="J33" s="291" t="str">
        <f>FHD_NOTE_P_4</f>
        <v>Указываются суммарные расходы на приобретение топлива всех видов.</v>
      </c>
      <c r="K33" s="1638" t="str">
        <f>IF((LEN(E33)-LEN(SUBSTITUTE(E33,".","")))/LEN(".")=1,"p","")</f>
        <v>p</v>
      </c>
      <c r="AF33" s="1633">
        <v>0</v>
      </c>
    </row>
    <row s="1643" customFormat="1" customHeight="1" ht="0.75">
      <c r="A34" s="2373"/>
      <c r="B34" s="2374" t="str">
        <f>E33&amp;".0"</f>
        <v>2.2.0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c r="A40" s="2373"/>
      <c r="C40" s="1638"/>
      <c r="D40" s="1635"/>
      <c r="E40" s="572"/>
      <c r="F40" s="573" t="s">
        <v>577</v>
      </c>
      <c r="G40" s="574"/>
      <c r="H40" s="575"/>
      <c r="I40" s="575"/>
      <c r="J40" s="303"/>
      <c r="K40" s="1638" t="str">
        <f>IF((LEN(E40)-LEN(SUBSTITUTE(E40,".","")))/LEN(".")=1,"p","")</f>
        <v/>
      </c>
      <c r="L40" s="1638"/>
      <c r="M40" s="1638"/>
      <c r="R40" s="1638"/>
      <c r="U40" s="546"/>
      <c r="AA40" s="1634"/>
      <c r="AB40" s="1634"/>
      <c r="AC40" s="1634"/>
      <c r="AD40" s="1634"/>
      <c r="AE40" s="1634"/>
      <c r="AF40" s="1162">
        <v>0</v>
      </c>
    </row>
    <row customHeight="1" ht="11.25" hidden="1">
      <c r="A41" s="2373" t="s">
        <v>578</v>
      </c>
      <c r="D41" s="1640"/>
      <c r="E41" s="548" t="str">
        <f>FHD_NUM_P_5</f>
        <v/>
      </c>
      <c r="F41" s="1526" t="str">
        <f>FHD_P_5</f>
        <v/>
      </c>
      <c r="G41" s="1880" t="s">
        <v>560</v>
      </c>
      <c r="H41" s="559"/>
      <c r="I41" s="559"/>
      <c r="J41" s="291" t="str">
        <f>FHD_NOTE_P_5</f>
        <v/>
      </c>
      <c r="K41" s="1638" t="str">
        <f>IF((LEN(E41)-LEN(SUBSTITUTE(E41,".","")))/LEN(".")=1,"p","")</f>
        <v/>
      </c>
      <c r="AF41" s="1633">
        <v>0</v>
      </c>
    </row>
    <row customHeight="1" ht="11.25" hidden="1">
      <c r="A42" s="2373"/>
      <c r="D42" s="1640"/>
      <c r="E42" s="548" t="str">
        <f>FHD_NUM_P_6</f>
        <v/>
      </c>
      <c r="F42" s="1526" t="str">
        <f>FHD_P_6</f>
        <v/>
      </c>
      <c r="G42" s="1880" t="s">
        <v>560</v>
      </c>
      <c r="H42" s="559"/>
      <c r="I42" s="559"/>
      <c r="J42" s="291" t="str">
        <f>FHD_NOTE_P_6</f>
        <v/>
      </c>
      <c r="K42" s="1638" t="str">
        <f>IF((LEN(E42)-LEN(SUBSTITUTE(E42,".","")))/LEN(".")=1,"p","")</f>
        <v/>
      </c>
      <c r="AF42" s="1633">
        <v>0</v>
      </c>
    </row>
    <row customHeight="1" ht="11.25" hidden="1">
      <c r="A43" s="2373"/>
      <c r="D43" s="1640"/>
      <c r="E43" s="548" t="str">
        <f>FHD_NUM_P_7</f>
        <v/>
      </c>
      <c r="F43" s="1526" t="str">
        <f>FHD_P_7</f>
        <v/>
      </c>
      <c r="G43" s="1880" t="s">
        <v>560</v>
      </c>
      <c r="H43" s="559"/>
      <c r="I43" s="559"/>
      <c r="J43" s="291" t="str">
        <f>FHD_NOTE_P_7</f>
        <v/>
      </c>
      <c r="K43" s="1638" t="str">
        <f>IF((LEN(E43)-LEN(SUBSTITUTE(E43,".","")))/LEN(".")=1,"p","")</f>
        <v/>
      </c>
      <c r="AF43" s="1633">
        <v>0</v>
      </c>
    </row>
    <row customHeight="1" ht="11.25">
      <c r="D44" s="1640"/>
      <c r="E44" s="548" t="str">
        <f>FHD_NUM_P_8</f>
        <v>2.3</v>
      </c>
      <c r="F44" s="1526" t="str">
        <f>FHD_P_8</f>
        <v>Расходы на приобретаемую электрическую энергию (мощность), используемую в технологическом процессе</v>
      </c>
      <c r="G44" s="1880" t="s">
        <v>560</v>
      </c>
      <c r="H44" s="559"/>
      <c r="I44" s="559"/>
      <c r="J44" s="291" t="str">
        <f>FHD_NOTE_P_8</f>
        <v/>
      </c>
      <c r="K44" s="1638" t="str">
        <f>IF((LEN(E44)-LEN(SUBSTITUTE(E44,".","")))/LEN(".")=1,"p","")</f>
        <v>p</v>
      </c>
      <c r="AF44" s="1633">
        <v>11</v>
      </c>
    </row>
    <row customHeight="1" ht="11.25">
      <c r="D45" s="1640"/>
      <c r="E45" s="548" t="str">
        <f>FHD_NUM_P_9</f>
        <v>2.3.1</v>
      </c>
      <c r="F45" s="1652" t="str">
        <f>FHD_P_9</f>
        <v>Средневзвешенная стоимость 1 кВт.ч (с учетом мощности)</v>
      </c>
      <c r="G45" s="1880" t="s">
        <v>579</v>
      </c>
      <c r="H45" s="559"/>
      <c r="I45" s="559"/>
      <c r="J45" s="291" t="str">
        <f>FHD_NOTE_P_9</f>
        <v/>
      </c>
      <c r="K45" s="1638" t="str">
        <f>IF((LEN(E45)-LEN(SUBSTITUTE(E45,".","")))/LEN(".")=1,"p","")</f>
        <v/>
      </c>
      <c r="AF45" s="1633">
        <v>11</v>
      </c>
    </row>
    <row s="1368" customFormat="1" customHeight="1" ht="11.25">
      <c r="A46" s="989"/>
      <c r="C46" s="1638"/>
      <c r="D46" s="576"/>
      <c r="E46" s="548" t="str">
        <f>FHD_NUM_P_10</f>
        <v>2.3.2</v>
      </c>
      <c r="F46" s="1652" t="str">
        <f>FHD_P_10</f>
        <v>Объём приобретения электрической энергии</v>
      </c>
      <c r="G46" s="1880" t="s">
        <v>580</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c r="A47" s="991" t="s">
        <v>581</v>
      </c>
      <c r="C47" s="1638"/>
      <c r="D47" s="577"/>
      <c r="E47" s="548" t="str">
        <f>FHD_NUM_P_11</f>
        <v>2.4</v>
      </c>
      <c r="F47" s="1526" t="str">
        <f>FHD_P_11</f>
        <v>Расходы на приобретение холодной воды, используемой в технологическом процессе</v>
      </c>
      <c r="G47" s="1880" t="s">
        <v>560</v>
      </c>
      <c r="H47" s="559"/>
      <c r="I47" s="559"/>
      <c r="J47" s="291" t="str">
        <f>FHD_NOTE_P_11</f>
        <v/>
      </c>
      <c r="K47" s="1638" t="str">
        <f>IF((LEN(E47)-LEN(SUBSTITUTE(E47,".","")))/LEN(".")=1,"p","")</f>
        <v>p</v>
      </c>
      <c r="L47" s="1638"/>
      <c r="M47" s="1638"/>
      <c r="R47" s="1638"/>
      <c r="U47" s="546"/>
      <c r="AA47" s="1634"/>
      <c r="AB47" s="1634"/>
      <c r="AC47" s="1634"/>
      <c r="AD47" s="1634"/>
      <c r="AE47" s="1634"/>
      <c r="AF47" s="1162">
        <v>0</v>
      </c>
    </row>
    <row s="1368" customFormat="1" customHeight="1" ht="18.75">
      <c r="A48" s="991" t="s">
        <v>582</v>
      </c>
      <c r="C48" s="1638"/>
      <c r="D48" s="1640"/>
      <c r="E48" s="548" t="str">
        <f>FHD_NUM_P_12</f>
        <v>2.5</v>
      </c>
      <c r="F48" s="1526" t="str">
        <f>FHD_P_12</f>
        <v>Расходы на  химические реагенты, используемые в технологическом процессе</v>
      </c>
      <c r="G48" s="1880" t="s">
        <v>560</v>
      </c>
      <c r="H48" s="579"/>
      <c r="I48" s="579"/>
      <c r="J48" s="291" t="str">
        <f>FHD_NOTE_P_12</f>
        <v/>
      </c>
      <c r="K48" s="1638" t="str">
        <f>IF((LEN(E48)-LEN(SUBSTITUTE(E48,".","")))/LEN(".")=1,"p","")</f>
        <v>p</v>
      </c>
      <c r="L48" s="1638"/>
      <c r="M48" s="1638"/>
      <c r="R48" s="1638"/>
      <c r="U48" s="546"/>
      <c r="AA48" s="1634"/>
      <c r="AB48" s="1634"/>
      <c r="AC48" s="1634"/>
      <c r="AD48" s="1634"/>
      <c r="AE48" s="1634"/>
      <c r="AF48" s="1162">
        <v>18</v>
      </c>
    </row>
    <row s="1367" customFormat="1" customHeight="1" ht="11.25">
      <c r="A49" s="990"/>
      <c r="C49" s="732"/>
      <c r="D49" s="675"/>
      <c r="E49" s="548" t="str">
        <f>FHD_NUM_P_13</f>
        <v>2.6</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560</v>
      </c>
      <c r="H49" s="559"/>
      <c r="I49" s="559"/>
      <c r="J49" s="291" t="str">
        <f>FHD_NOTE_P_13</f>
        <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2.6.1</v>
      </c>
      <c r="F50" s="1652" t="str">
        <f>FHD_P_14</f>
        <v>Расходы на оплату труда основного производственного персонала</v>
      </c>
      <c r="G50" s="1880" t="s">
        <v>560</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2.6.2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560</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2.7</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560</v>
      </c>
      <c r="H52" s="559"/>
      <c r="I52" s="559"/>
      <c r="J52" s="291" t="str">
        <f>FHD_NOTE_P_16</f>
        <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2.7.1</v>
      </c>
      <c r="F53" s="1652" t="str">
        <f>FHD_P_17</f>
        <v>Расходы на оплату труда административно-управленческого персонала</v>
      </c>
      <c r="G53" s="1880" t="s">
        <v>560</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2.7.2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560</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2.8</v>
      </c>
      <c r="F55" s="1526" t="str">
        <f>FHD_P_19</f>
        <v>Расходы на амортизацию основных средств и нематериальных активов</v>
      </c>
      <c r="G55" s="1880" t="s">
        <v>560</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2.8.1</v>
      </c>
      <c r="F56" s="1652" t="str">
        <f>FHD_P_20</f>
        <v>Расходы на амортизацию основных средств</v>
      </c>
      <c r="G56" s="1880" t="s">
        <v>560</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2.8.2</v>
      </c>
      <c r="F57" s="1652" t="str">
        <f>FHD_P_21</f>
        <v>Расходы на амортизацию нематериальных активов</v>
      </c>
      <c r="G57" s="1880" t="s">
        <v>560</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2.9</v>
      </c>
      <c r="F58" s="1526" t="str">
        <f>FHD_P_22</f>
        <v>Расходы на аренду имущества, используемого для осуществления регулируемого вида деятельности</v>
      </c>
      <c r="G58" s="1880" t="s">
        <v>560</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2.10</v>
      </c>
      <c r="F59" s="1526" t="str">
        <f>FHD_P_23</f>
        <v>Общепроизводственные расходы, в том числе:</v>
      </c>
      <c r="G59" s="1880" t="s">
        <v>560</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2.10.1</v>
      </c>
      <c r="F60" s="1652" t="str">
        <f>FHD_P_24</f>
        <v>Расходы на текущий ремонт</v>
      </c>
      <c r="G60" s="1880" t="s">
        <v>560</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2.10.2</v>
      </c>
      <c r="F61" s="1652" t="str">
        <f>FHD_P_25</f>
        <v>Расходы на капитальный ремонт</v>
      </c>
      <c r="G61" s="1880" t="s">
        <v>560</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2.11</v>
      </c>
      <c r="F62" s="1526" t="str">
        <f>FHD_P_26</f>
        <v>Общехозяйственные расходы, в том числе:</v>
      </c>
      <c r="G62" s="1880" t="s">
        <v>560</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2.11.1</v>
      </c>
      <c r="F63" s="1652" t="str">
        <f>FHD_P_27</f>
        <v>Расходы на текущий ремонт</v>
      </c>
      <c r="G63" s="1880" t="s">
        <v>560</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2.11.2</v>
      </c>
      <c r="F64" s="1652" t="str">
        <f>FHD_P_28</f>
        <v>Расходы на капитальный ремонт</v>
      </c>
      <c r="G64" s="1880" t="s">
        <v>560</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2.12</v>
      </c>
      <c r="F65" s="1526" t="str">
        <f>FHD_P_29</f>
        <v>Расходы на капитальный и текущий ремонт основных средств</v>
      </c>
      <c r="G65" s="1880" t="s">
        <v>560</v>
      </c>
      <c r="H65" s="559"/>
      <c r="I65" s="559"/>
      <c r="J65" s="291"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2.12.1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315</v>
      </c>
      <c r="H66" s="1651" t="s">
        <v>583</v>
      </c>
      <c r="I66" s="1651" t="s">
        <v>583</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hidden="1">
      <c r="A67" s="2373" t="s">
        <v>584</v>
      </c>
      <c r="C67" s="1638"/>
      <c r="D67" s="1640"/>
      <c r="E67" s="548" t="str">
        <f>FHD_NUM_P_31</f>
        <v/>
      </c>
      <c r="F67" s="1526" t="str">
        <f>FHD_P_31</f>
        <v/>
      </c>
      <c r="G67" s="1880" t="s">
        <v>560</v>
      </c>
      <c r="H67" s="559"/>
      <c r="I67" s="559"/>
      <c r="J67" s="291" t="str">
        <f>FHD_NOTE_P_31</f>
        <v/>
      </c>
      <c r="K67" s="1638" t="str">
        <f>IF((LEN(E67)-LEN(SUBSTITUTE(E67,".","")))/LEN(".")=1,"p","")</f>
        <v/>
      </c>
      <c r="L67" s="1638"/>
      <c r="M67" s="1638"/>
      <c r="R67" s="1638"/>
      <c r="U67" s="546"/>
      <c r="AA67" s="1634"/>
      <c r="AB67" s="1634"/>
      <c r="AC67" s="1634"/>
      <c r="AD67" s="1634"/>
      <c r="AE67" s="1634"/>
      <c r="AF67" s="1162">
        <v>22</v>
      </c>
    </row>
    <row s="1368" customFormat="1" customHeight="1" ht="47.25" hidden="1">
      <c r="A68" s="2373"/>
      <c r="C68" s="1638"/>
      <c r="D68" s="1640"/>
      <c r="E68" s="548" t="str">
        <f>FHD_NUM_P_32</f>
        <v/>
      </c>
      <c r="F68" s="1652" t="str">
        <f>FHD_P_32</f>
        <v/>
      </c>
      <c r="G68" s="1880" t="s">
        <v>315</v>
      </c>
      <c r="H68" s="1651" t="s">
        <v>583</v>
      </c>
      <c r="I68" s="1651" t="s">
        <v>583</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2.13</v>
      </c>
      <c r="F69" s="1526"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81" t="s">
        <v>560</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2.13.0</v>
      </c>
      <c r="F70" s="993"/>
      <c r="G70" s="1015"/>
      <c r="H70" s="994"/>
      <c r="I70" s="994"/>
      <c r="J70" s="995"/>
      <c r="K70" s="1638" t="str">
        <f>IF((LEN(E70)-LEN(SUBSTITUTE(E70,".","")))/LEN(".")=1,"p","")</f>
        <v/>
      </c>
      <c r="AF70" s="1638">
        <v>1</v>
      </c>
    </row>
    <row s="1368" customFormat="1" customHeight="1" ht="15">
      <c r="A71" s="989"/>
      <c r="C71" s="1638"/>
      <c r="D71" s="1635"/>
      <c r="E71" s="572"/>
      <c r="F71" s="573" t="s">
        <v>585</v>
      </c>
      <c r="G71" s="574"/>
      <c r="H71" s="575"/>
      <c r="I71" s="575"/>
      <c r="J71" s="303"/>
      <c r="K71" s="1638"/>
      <c r="L71" s="1638"/>
      <c r="M71" s="1638"/>
      <c r="R71" s="1638"/>
      <c r="U71" s="546"/>
      <c r="AA71" s="1634"/>
      <c r="AB71" s="1634"/>
      <c r="AC71" s="1634"/>
      <c r="AD71" s="1634"/>
      <c r="AE71" s="1634"/>
      <c r="AF71" s="1162">
        <v>14</v>
      </c>
    </row>
    <row s="1368" customFormat="1" customHeight="1" ht="18.75">
      <c r="A72" s="991" t="s">
        <v>586</v>
      </c>
      <c r="C72" s="1638"/>
      <c r="D72" s="1640"/>
      <c r="E72" s="548" t="str">
        <f>FHD_NUM_P_34</f>
        <v>3</v>
      </c>
      <c r="F72" s="1882" t="str">
        <f>FHD_P_34</f>
        <v>Валовая прибыль (убытки) от реализации товаров и оказания услуг по регулируемому виду деятельности</v>
      </c>
      <c r="G72" s="1880" t="s">
        <v>560</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4</v>
      </c>
      <c r="F73" s="1882" t="str">
        <f>FHD_P_35</f>
        <v>Чистая прибыль, полученная от регулируемого вида деятельности, в том числе:</v>
      </c>
      <c r="G73" s="1880" t="s">
        <v>560</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4.1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560</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5</v>
      </c>
      <c r="F75" s="1882" t="str">
        <f>FHD_P_37</f>
        <v>Изменение стоимости основных фондов, в том числе:</v>
      </c>
      <c r="G75" s="1880" t="s">
        <v>560</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5.1</v>
      </c>
      <c r="F76" s="1526" t="str">
        <f>FHD_P_38</f>
        <v>Изменение стоимости основных фондов за счет:</v>
      </c>
      <c r="G76" s="1880" t="s">
        <v>560</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5.1.1</v>
      </c>
      <c r="F77" s="1652" t="str">
        <f>FHD_P_39</f>
        <v>Изменения стоимости основных фондов за счет их ввода в эксплуатацию</v>
      </c>
      <c r="G77" s="2074" t="s">
        <v>560</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5.1.2</v>
      </c>
      <c r="F78" s="2078" t="str">
        <f>FHD_P_40</f>
        <v>Изменения стоимости основных фондов за счет их вывода в эксплуатацию</v>
      </c>
      <c r="G78" s="2073" t="s">
        <v>560</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5.2</v>
      </c>
      <c r="F79" s="2077" t="str">
        <f>FHD_P_41</f>
        <v>Изменение стоимости основных фондов за счет их переоценки</v>
      </c>
      <c r="G79" s="2073" t="s">
        <v>560</v>
      </c>
      <c r="H79" s="978"/>
      <c r="I79" s="559"/>
      <c r="J79" s="291" t="str">
        <f>FHD_NOTE_P_41</f>
        <v/>
      </c>
      <c r="K79" s="545"/>
      <c r="L79" s="1638"/>
      <c r="M79" s="1638"/>
      <c r="R79" s="1638"/>
      <c r="U79" s="546"/>
      <c r="AA79" s="1634"/>
      <c r="AB79" s="1634"/>
      <c r="AC79" s="1634"/>
      <c r="AD79" s="1634"/>
      <c r="AE79" s="1634"/>
      <c r="AF79" s="1162">
        <v>19</v>
      </c>
    </row>
    <row s="1368" customFormat="1" customHeight="1" ht="20.25" hidden="1">
      <c r="A80" s="991" t="s">
        <v>587</v>
      </c>
      <c r="C80" s="1638"/>
      <c r="D80" s="1640"/>
      <c r="E80" s="548" t="str">
        <f>FHD_NUM_P_42</f>
        <v/>
      </c>
      <c r="F80" s="2075" t="str">
        <f>FHD_P_42</f>
        <v/>
      </c>
      <c r="G80" s="2073" t="s">
        <v>560</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315</v>
      </c>
      <c r="H81" s="1057"/>
      <c r="I81" s="820"/>
      <c r="J81" s="291"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hidden="1">
      <c r="A82" s="2373" t="s">
        <v>588</v>
      </c>
      <c r="C82" s="737"/>
      <c r="D82" s="735"/>
      <c r="E82" s="548" t="str">
        <f>FHD_NUM_P_44</f>
        <v/>
      </c>
      <c r="F82" s="1882" t="str">
        <f>FHD_P_44</f>
        <v/>
      </c>
      <c r="G82" s="1883" t="s">
        <v>589</v>
      </c>
      <c r="H82" s="979"/>
      <c r="I82" s="579"/>
      <c r="J82" s="291" t="str">
        <f>FHD_NOTE_P_44</f>
        <v/>
      </c>
      <c r="K82" s="736"/>
      <c r="L82" s="737"/>
      <c r="M82" s="737"/>
      <c r="R82" s="737"/>
      <c r="U82" s="738"/>
      <c r="AA82" s="739"/>
      <c r="AB82" s="739"/>
      <c r="AC82" s="739"/>
      <c r="AD82" s="739"/>
      <c r="AE82" s="739"/>
      <c r="AF82" s="912">
        <v>0</v>
      </c>
    </row>
    <row s="1368" customFormat="1" customHeight="1" ht="18.75" hidden="1">
      <c r="A83" s="2373"/>
      <c r="C83" s="737"/>
      <c r="D83" s="735"/>
      <c r="E83" s="548" t="str">
        <f>FHD_NUM_P_45</f>
        <v/>
      </c>
      <c r="F83" s="1882" t="str">
        <f>FHD_P_45</f>
        <v/>
      </c>
      <c r="G83" s="1883" t="s">
        <v>589</v>
      </c>
      <c r="H83" s="979"/>
      <c r="I83" s="579"/>
      <c r="J83" s="291" t="str">
        <f>FHD_NOTE_P_45</f>
        <v/>
      </c>
      <c r="K83" s="736"/>
      <c r="L83" s="737"/>
      <c r="M83" s="737"/>
      <c r="R83" s="737"/>
      <c r="U83" s="738"/>
      <c r="AA83" s="739"/>
      <c r="AB83" s="739"/>
      <c r="AC83" s="739"/>
      <c r="AD83" s="739"/>
      <c r="AE83" s="739"/>
      <c r="AF83" s="912">
        <v>0</v>
      </c>
    </row>
    <row s="1368" customFormat="1" customHeight="1" ht="18.75" hidden="1">
      <c r="A84" s="2373"/>
      <c r="C84" s="737"/>
      <c r="D84" s="740"/>
      <c r="E84" s="548" t="str">
        <f>FHD_NUM_P_46</f>
        <v/>
      </c>
      <c r="F84" s="1882" t="str">
        <f>FHD_P_46</f>
        <v/>
      </c>
      <c r="G84" s="1883" t="s">
        <v>589</v>
      </c>
      <c r="H84" s="979"/>
      <c r="I84" s="579"/>
      <c r="J84" s="291" t="str">
        <f>FHD_NOTE_P_46</f>
        <v/>
      </c>
      <c r="K84" s="736"/>
      <c r="L84" s="737"/>
      <c r="M84" s="737"/>
      <c r="R84" s="737"/>
      <c r="U84" s="738"/>
      <c r="AA84" s="739"/>
      <c r="AB84" s="739"/>
      <c r="AC84" s="739"/>
      <c r="AD84" s="739"/>
      <c r="AE84" s="739"/>
      <c r="AF84" s="912">
        <v>0</v>
      </c>
    </row>
    <row s="1368" customFormat="1" customHeight="1" ht="18.75" hidden="1">
      <c r="A85" s="2373"/>
      <c r="C85" s="737"/>
      <c r="D85" s="735"/>
      <c r="E85" s="548" t="str">
        <f>FHD_NUM_P_47</f>
        <v/>
      </c>
      <c r="F85" s="1882" t="str">
        <f>FHD_P_47</f>
        <v/>
      </c>
      <c r="G85" s="1883" t="s">
        <v>589</v>
      </c>
      <c r="H85" s="979"/>
      <c r="I85" s="579"/>
      <c r="J85" s="291" t="str">
        <f>FHD_NOTE_P_47</f>
        <v/>
      </c>
      <c r="K85" s="736"/>
      <c r="L85" s="737"/>
      <c r="M85" s="737"/>
      <c r="R85" s="737"/>
      <c r="U85" s="738"/>
      <c r="AA85" s="739"/>
      <c r="AB85" s="739"/>
      <c r="AC85" s="739"/>
      <c r="AD85" s="739"/>
      <c r="AE85" s="739"/>
      <c r="AF85" s="912">
        <v>0</v>
      </c>
    </row>
    <row s="1637" customFormat="1" customHeight="1" ht="18.75" hidden="1">
      <c r="A86" s="2373"/>
      <c r="B86" s="912"/>
      <c r="C86" s="737"/>
      <c r="D86" s="735"/>
      <c r="E86" s="548" t="str">
        <f>FHD_NUM_P_48</f>
        <v/>
      </c>
      <c r="F86" s="1882" t="str">
        <f>FHD_P_48</f>
        <v/>
      </c>
      <c r="G86" s="1883" t="s">
        <v>589</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hidden="1">
      <c r="A87" s="2373"/>
      <c r="B87" s="912"/>
      <c r="C87" s="737"/>
      <c r="D87" s="735"/>
      <c r="E87" s="548" t="str">
        <f>FHD_NUM_P_49</f>
        <v/>
      </c>
      <c r="F87" s="1882" t="str">
        <f>FHD_P_49</f>
        <v/>
      </c>
      <c r="G87" s="1883" t="s">
        <v>589</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hidden="1">
      <c r="A88" s="2373"/>
      <c r="B88" s="912"/>
      <c r="C88" s="737"/>
      <c r="D88" s="735"/>
      <c r="E88" s="548" t="str">
        <f>FHD_NUM_P_50</f>
        <v/>
      </c>
      <c r="F88" s="1882" t="str">
        <f>FHD_P_50</f>
        <v/>
      </c>
      <c r="G88" s="1883" t="s">
        <v>589</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hidden="1">
      <c r="A89" s="2373"/>
      <c r="B89" s="912"/>
      <c r="C89" s="737"/>
      <c r="D89" s="735"/>
      <c r="E89" s="548" t="str">
        <f>FHD_NUM_P_51</f>
        <v/>
      </c>
      <c r="F89" s="1882" t="str">
        <f>FHD_P_51</f>
        <v/>
      </c>
      <c r="G89" s="1883" t="s">
        <v>589</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hidden="1">
      <c r="A90" s="2373"/>
      <c r="B90" s="912"/>
      <c r="C90" s="737"/>
      <c r="D90" s="735"/>
      <c r="E90" s="548" t="str">
        <f>FHD_NUM_P_52</f>
        <v/>
      </c>
      <c r="F90" s="1882" t="str">
        <f>FHD_P_52</f>
        <v/>
      </c>
      <c r="G90" s="1883" t="s">
        <v>566</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hidden="1">
      <c r="A91" s="2375" t="s">
        <v>590</v>
      </c>
      <c r="C91" s="737"/>
      <c r="D91" s="735"/>
      <c r="E91" s="548" t="str">
        <f>FHD_NUM_P_53</f>
        <v/>
      </c>
      <c r="F91" s="1882" t="str">
        <f>FHD_P_53</f>
        <v/>
      </c>
      <c r="G91" s="1883" t="s">
        <v>589</v>
      </c>
      <c r="H91" s="979"/>
      <c r="I91" s="579"/>
      <c r="J91" s="291" t="str">
        <f>FHD_NOTE_P_53</f>
        <v/>
      </c>
      <c r="K91" s="736"/>
      <c r="L91" s="737"/>
      <c r="M91" s="737"/>
      <c r="R91" s="737"/>
      <c r="U91" s="738"/>
      <c r="AA91" s="739"/>
      <c r="AB91" s="739"/>
      <c r="AC91" s="739"/>
      <c r="AD91" s="739"/>
      <c r="AE91" s="739"/>
      <c r="AF91" s="912">
        <v>0</v>
      </c>
    </row>
    <row s="1368" customFormat="1" customHeight="1" ht="18.75" hidden="1">
      <c r="A92" s="2375"/>
      <c r="C92" s="737"/>
      <c r="D92" s="735"/>
      <c r="E92" s="548" t="str">
        <f>FHD_NUM_P_54</f>
        <v/>
      </c>
      <c r="F92" s="1882" t="str">
        <f>FHD_P_54</f>
        <v/>
      </c>
      <c r="G92" s="1883" t="s">
        <v>589</v>
      </c>
      <c r="H92" s="979"/>
      <c r="I92" s="579"/>
      <c r="J92" s="291" t="str">
        <f>FHD_NOTE_P_54</f>
        <v/>
      </c>
      <c r="K92" s="736"/>
      <c r="L92" s="737"/>
      <c r="M92" s="737"/>
      <c r="R92" s="737"/>
      <c r="U92" s="738"/>
      <c r="AA92" s="739"/>
      <c r="AB92" s="739"/>
      <c r="AC92" s="739"/>
      <c r="AD92" s="739"/>
      <c r="AE92" s="739"/>
      <c r="AF92" s="912">
        <v>0</v>
      </c>
    </row>
    <row s="1368" customFormat="1" customHeight="1" ht="18.75" hidden="1">
      <c r="A93" s="2375"/>
      <c r="C93" s="737"/>
      <c r="D93" s="740"/>
      <c r="E93" s="548" t="str">
        <f>FHD_NUM_P_55</f>
        <v/>
      </c>
      <c r="F93" s="1882" t="str">
        <f>FHD_P_55</f>
        <v/>
      </c>
      <c r="G93" s="1886"/>
      <c r="H93" s="979"/>
      <c r="I93" s="579"/>
      <c r="J93" s="291" t="str">
        <f>FHD_NOTE_P_55</f>
        <v/>
      </c>
      <c r="K93" s="736"/>
      <c r="L93" s="737"/>
      <c r="M93" s="737"/>
      <c r="R93" s="737"/>
      <c r="U93" s="738"/>
      <c r="AA93" s="739"/>
      <c r="AB93" s="739"/>
      <c r="AC93" s="739"/>
      <c r="AD93" s="739"/>
      <c r="AE93" s="739"/>
      <c r="AF93" s="912">
        <v>0</v>
      </c>
    </row>
    <row s="1368" customFormat="1" customHeight="1" ht="18.75" hidden="1">
      <c r="A94" s="2375"/>
      <c r="C94" s="737"/>
      <c r="D94" s="735"/>
      <c r="E94" s="548" t="str">
        <f>FHD_NUM_P_56</f>
        <v/>
      </c>
      <c r="F94" s="1882" t="str">
        <f>FHD_P_56</f>
        <v/>
      </c>
      <c r="G94" s="1883" t="s">
        <v>591</v>
      </c>
      <c r="H94" s="979"/>
      <c r="I94" s="579"/>
      <c r="J94" s="291" t="str">
        <f>FHD_NOTE_P_56</f>
        <v/>
      </c>
      <c r="K94" s="736"/>
      <c r="L94" s="737"/>
      <c r="M94" s="737"/>
      <c r="R94" s="737"/>
      <c r="U94" s="738"/>
      <c r="AA94" s="739"/>
      <c r="AB94" s="739"/>
      <c r="AC94" s="739"/>
      <c r="AD94" s="739"/>
      <c r="AE94" s="739"/>
      <c r="AF94" s="912">
        <v>0</v>
      </c>
    </row>
    <row s="1637" customFormat="1" customHeight="1" ht="18.75" hidden="1">
      <c r="A95" s="2375"/>
      <c r="B95" s="912"/>
      <c r="C95" s="737"/>
      <c r="D95" s="735"/>
      <c r="E95" s="548" t="str">
        <f>FHD_NUM_P_57</f>
        <v/>
      </c>
      <c r="F95" s="1882" t="str">
        <f>FHD_P_57</f>
        <v/>
      </c>
      <c r="G95" s="1883" t="s">
        <v>566</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592</v>
      </c>
      <c r="D96" s="1640"/>
      <c r="E96" s="548" t="str">
        <f>FHD_NUM_P_58</f>
        <v/>
      </c>
      <c r="F96" s="1882" t="str">
        <f>FHD_P_58</f>
        <v/>
      </c>
      <c r="G96" s="1883" t="s">
        <v>589</v>
      </c>
      <c r="H96" s="979"/>
      <c r="I96" s="579"/>
      <c r="J96" s="291" t="str">
        <f>FHD_NOTE_P_58</f>
        <v/>
      </c>
      <c r="K96" s="545"/>
      <c r="AF96" s="1633">
        <v>0</v>
      </c>
    </row>
    <row customHeight="1" ht="18.75" hidden="1">
      <c r="A97" s="2373"/>
      <c r="D97" s="1640"/>
      <c r="E97" s="548" t="str">
        <f>FHD_NUM_P_59</f>
        <v/>
      </c>
      <c r="F97" s="1882" t="str">
        <f>FHD_P_59</f>
        <v/>
      </c>
      <c r="G97" s="1883" t="s">
        <v>589</v>
      </c>
      <c r="H97" s="979"/>
      <c r="I97" s="579"/>
      <c r="J97" s="291" t="str">
        <f>FHD_NOTE_P_59</f>
        <v/>
      </c>
      <c r="K97" s="545"/>
      <c r="AF97" s="1633">
        <v>0</v>
      </c>
    </row>
    <row customHeight="1" ht="18.75" hidden="1">
      <c r="A98" s="2373"/>
      <c r="D98" s="1640"/>
      <c r="E98" s="548" t="str">
        <f>FHD_NUM_P_60</f>
        <v/>
      </c>
      <c r="F98" s="1882" t="str">
        <f>FHD_P_60</f>
        <v/>
      </c>
      <c r="G98" s="1883" t="s">
        <v>589</v>
      </c>
      <c r="H98" s="979"/>
      <c r="I98" s="579"/>
      <c r="J98" s="291" t="str">
        <f>FHD_NOTE_P_60</f>
        <v/>
      </c>
      <c r="K98" s="545"/>
      <c r="AF98" s="1633">
        <v>0</v>
      </c>
    </row>
    <row s="1368" customFormat="1" customHeight="1" ht="18.75">
      <c r="A99" s="2373" t="s">
        <v>593</v>
      </c>
      <c r="C99" s="1638"/>
      <c r="D99" s="1640"/>
      <c r="E99" s="548" t="str">
        <f>FHD_NUM_P_61</f>
        <v>7</v>
      </c>
      <c r="F99" s="1882"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80" t="s">
        <v>564</v>
      </c>
      <c r="H99" s="981"/>
      <c r="I99" s="744"/>
      <c r="J99" s="291"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5"/>
      <c r="L99" s="1638"/>
      <c r="M99" s="1638"/>
      <c r="R99" s="1638"/>
      <c r="U99" s="546"/>
      <c r="AA99" s="1634"/>
      <c r="AB99" s="1634"/>
      <c r="AC99" s="1634"/>
      <c r="AD99" s="1634"/>
      <c r="AE99" s="1634"/>
      <c r="AF99" s="1162">
        <v>0</v>
      </c>
    </row>
    <row s="1644" customFormat="1" customHeight="1" ht="0.75">
      <c r="A100" s="2373"/>
      <c r="D100" s="550"/>
      <c r="E100" s="1015" t="str">
        <f>E99&amp;".0"</f>
        <v>7.0</v>
      </c>
      <c r="F100" s="996"/>
      <c r="G100" s="997"/>
      <c r="H100" s="994"/>
      <c r="I100" s="994"/>
      <c r="J100" s="998"/>
      <c r="AF100" s="1638">
        <v>0</v>
      </c>
    </row>
    <row customHeight="1" ht="15">
      <c r="A101" s="2373"/>
      <c r="D101" s="1635"/>
      <c r="E101" s="973"/>
      <c r="F101" s="974" t="s">
        <v>594</v>
      </c>
      <c r="G101" s="574"/>
      <c r="H101" s="575"/>
      <c r="I101" s="575"/>
      <c r="J101" s="1006" t="s">
        <v>595</v>
      </c>
      <c r="K101" s="545"/>
      <c r="AF101" s="1633">
        <v>0</v>
      </c>
    </row>
    <row s="1368" customFormat="1" customHeight="1" ht="18.75">
      <c r="A102" s="2373"/>
      <c r="C102" s="1638"/>
      <c r="D102" s="1640"/>
      <c r="E102" s="548" t="str">
        <f>FHD_NUM_P_62</f>
        <v>8</v>
      </c>
      <c r="F102" s="1882" t="str">
        <f>FHD_P_62</f>
        <v>Тепловая нагрузка по договорам, заключенным в рамках осуществления регулируемых видов деятельности</v>
      </c>
      <c r="G102" s="1879" t="s">
        <v>564</v>
      </c>
      <c r="H102" s="559"/>
      <c r="I102" s="559"/>
      <c r="J102" s="291"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5"/>
      <c r="L102" s="1638"/>
      <c r="M102" s="1638"/>
      <c r="R102" s="1638"/>
      <c r="U102" s="546"/>
      <c r="AA102" s="1634"/>
      <c r="AB102" s="1634"/>
      <c r="AC102" s="1634"/>
      <c r="AD102" s="1634"/>
      <c r="AE102" s="1634"/>
      <c r="AF102" s="1162">
        <v>0</v>
      </c>
    </row>
    <row s="1368" customFormat="1" customHeight="1" ht="18.75">
      <c r="A103" s="2373"/>
      <c r="C103" s="1638"/>
      <c r="D103" s="1640"/>
      <c r="E103" s="548" t="str">
        <f>FHD_NUM_P_63</f>
        <v>9</v>
      </c>
      <c r="F103" s="1882" t="str">
        <f>FHD_P_63</f>
        <v>Объем вырабатываемой регулируемой организацией тепловой энергии в рамках осуществления регулируемых видов деятельности</v>
      </c>
      <c r="G103" s="1879" t="s">
        <v>591</v>
      </c>
      <c r="H103" s="579"/>
      <c r="I103" s="579"/>
      <c r="J103" s="291"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5"/>
      <c r="L103" s="1638"/>
      <c r="M103" s="1638"/>
      <c r="R103" s="1638"/>
      <c r="U103" s="546"/>
      <c r="AA103" s="1634"/>
      <c r="AB103" s="1634"/>
      <c r="AC103" s="1634"/>
      <c r="AD103" s="1634"/>
      <c r="AE103" s="1634"/>
      <c r="AF103" s="1162">
        <v>0</v>
      </c>
    </row>
    <row s="1368" customFormat="1" customHeight="1" ht="18.75">
      <c r="A104" s="2373"/>
      <c r="C104" s="1638" t="s">
        <v>596</v>
      </c>
      <c r="D104" s="1640"/>
      <c r="E104" s="548" t="str">
        <f>FHD_NUM_P_64</f>
        <v>9.1</v>
      </c>
      <c r="F104" s="1882" t="str">
        <f>FHD_P_64</f>
        <v>Объем приобретаемой регулируемой организацией тепловой энергии в рамках осуществления регулируемых видов деятельности</v>
      </c>
      <c r="G104" s="1879" t="s">
        <v>591</v>
      </c>
      <c r="H104" s="547"/>
      <c r="I104" s="547"/>
      <c r="J104" s="291" t="str">
        <f>FHD_NOTE_P_64</f>
        <v>Информация указывается только едиными теплоснабжающими организациями.</v>
      </c>
      <c r="K104" s="545"/>
      <c r="L104" s="1638"/>
      <c r="M104" s="1638"/>
      <c r="R104" s="1638"/>
      <c r="U104" s="546"/>
      <c r="AA104" s="1634"/>
      <c r="AB104" s="1634"/>
      <c r="AC104" s="1634"/>
      <c r="AD104" s="1634"/>
      <c r="AE104" s="1634"/>
      <c r="AF104" s="1162">
        <v>0</v>
      </c>
    </row>
    <row s="1368" customFormat="1" customHeight="1" ht="18.75">
      <c r="A105" s="2373"/>
      <c r="C105" s="1638"/>
      <c r="D105" s="1640"/>
      <c r="E105" s="548" t="str">
        <f>FHD_NUM_P_65</f>
        <v>10</v>
      </c>
      <c r="F105" s="1882"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79" t="s">
        <v>591</v>
      </c>
      <c r="H105" s="579"/>
      <c r="I105" s="579"/>
      <c r="J105" s="291"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5"/>
      <c r="L105" s="1638"/>
      <c r="M105" s="1638"/>
      <c r="R105" s="1638"/>
      <c r="U105" s="546"/>
      <c r="AA105" s="1634"/>
      <c r="AB105" s="1634"/>
      <c r="AC105" s="1634"/>
      <c r="AD105" s="1634"/>
      <c r="AE105" s="1634"/>
      <c r="AF105" s="1162">
        <v>0</v>
      </c>
    </row>
    <row s="1368" customFormat="1" customHeight="1" ht="18.75">
      <c r="A106" s="2373"/>
      <c r="C106" s="1638"/>
      <c r="D106" s="1640"/>
      <c r="E106" s="548" t="str">
        <f>FHD_NUM_P_66</f>
        <v>10.1</v>
      </c>
      <c r="F106" s="1526" t="str">
        <f>FHD_P_66</f>
        <v>По приборам учёта </v>
      </c>
      <c r="G106" s="1879" t="s">
        <v>591</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c r="A107" s="2373"/>
      <c r="C107" s="1638"/>
      <c r="D107" s="1640"/>
      <c r="E107" s="548" t="str">
        <f>FHD_NUM_P_67</f>
        <v>10.1.1</v>
      </c>
      <c r="F107" s="1652"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79" t="s">
        <v>591</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c r="A108" s="2373"/>
      <c r="C108" s="1638"/>
      <c r="D108" s="1640"/>
      <c r="E108" s="548" t="str">
        <f>FHD_NUM_P_68</f>
        <v>10.2</v>
      </c>
      <c r="F108" s="1526" t="str">
        <f>FHD_P_68</f>
        <v>Расчётным путём</v>
      </c>
      <c r="G108" s="1879" t="s">
        <v>591</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c r="A109" s="2373"/>
      <c r="C109" s="1638"/>
      <c r="D109" s="1640"/>
      <c r="E109" s="548" t="str">
        <f>FHD_NUM_P_69</f>
        <v>10.3</v>
      </c>
      <c r="F109" s="1526" t="str">
        <f>FHD_P_69</f>
        <v>По нормативам потребления коммунальных услуг и нормативам потребления коммунальных ресурсов</v>
      </c>
      <c r="G109" s="1879" t="s">
        <v>591</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c r="A110" s="2373"/>
      <c r="C110" s="1638"/>
      <c r="D110" s="1640"/>
      <c r="E110" s="548" t="str">
        <f>FHD_NUM_P_70</f>
        <v>11</v>
      </c>
      <c r="F110" s="1882"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79" t="s">
        <v>597</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c r="A111" s="2373"/>
      <c r="C111" s="1638"/>
      <c r="D111" s="1640"/>
      <c r="E111" s="548" t="str">
        <f>FHD_NUM_P_71</f>
        <v>12</v>
      </c>
      <c r="F111" s="1882" t="str">
        <f>FHD_P_71</f>
        <v>Фактический объем потерь при передаче тепловой энергии</v>
      </c>
      <c r="G111" s="1879" t="s">
        <v>597</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13</v>
      </c>
      <c r="F112" s="1882" t="str">
        <f>FHD_P_72</f>
        <v>Среднесписочная численность основного производственного персонала</v>
      </c>
      <c r="G112" s="1878" t="s">
        <v>598</v>
      </c>
      <c r="H112" s="579"/>
      <c r="I112" s="579"/>
      <c r="J112" s="291" t="str">
        <f>FHD_NOTE_P_72</f>
        <v/>
      </c>
      <c r="K112" s="545"/>
      <c r="AF112" s="1633">
        <v>19</v>
      </c>
    </row>
    <row customHeight="1" ht="18.75">
      <c r="A113" s="991" t="s">
        <v>599</v>
      </c>
      <c r="D113" s="1640"/>
      <c r="E113" s="548" t="str">
        <f>FHD_NUM_P_73</f>
        <v>14</v>
      </c>
      <c r="F113" s="1882" t="str">
        <f>FHD_P_73</f>
        <v>Среднесписочная численность административно-управленческого персонала</v>
      </c>
      <c r="G113" s="972" t="s">
        <v>598</v>
      </c>
      <c r="H113" s="970"/>
      <c r="I113" s="970"/>
      <c r="J113" s="291" t="str">
        <f>FHD_NOTE_P_73</f>
        <v/>
      </c>
      <c r="K113" s="545"/>
      <c r="AF113" s="1633">
        <v>0</v>
      </c>
    </row>
    <row customHeight="1" ht="33.75" hidden="1">
      <c r="A114" s="991" t="s">
        <v>600</v>
      </c>
      <c r="D114" s="1640"/>
      <c r="E114" s="548" t="str">
        <f>FHD_NUM_P_74</f>
        <v/>
      </c>
      <c r="F114" s="1882" t="str">
        <f>FHD_P_74</f>
        <v/>
      </c>
      <c r="G114" s="1878" t="s">
        <v>601</v>
      </c>
      <c r="H114" s="579"/>
      <c r="I114" s="579"/>
      <c r="J114" s="291" t="str">
        <f>FHD_NOTE_P_74</f>
        <v/>
      </c>
      <c r="K114" s="545"/>
      <c r="AF114" s="1633">
        <v>0</v>
      </c>
    </row>
    <row s="1637" customFormat="1" customHeight="1" ht="18.75" hidden="1">
      <c r="A115" s="2375" t="s">
        <v>602</v>
      </c>
      <c r="B115" s="912"/>
      <c r="C115" s="737"/>
      <c r="D115" s="735"/>
      <c r="E115" s="548" t="str">
        <f>FHD_NUM_P_75</f>
        <v/>
      </c>
      <c r="F115" s="1882" t="str">
        <f>FHD_P_75</f>
        <v/>
      </c>
      <c r="G115" s="1878" t="s">
        <v>566</v>
      </c>
      <c r="H115" s="559"/>
      <c r="I115" s="559"/>
      <c r="J115" s="291" t="str">
        <f>FHD_NOTE_P_75</f>
        <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hidden="1">
      <c r="A116" s="2375"/>
      <c r="B116" s="912"/>
      <c r="C116" s="737"/>
      <c r="D116" s="735"/>
      <c r="E116" s="548" t="str">
        <f>FHD_NUM_P_76</f>
        <v/>
      </c>
      <c r="F116" s="1882" t="str">
        <f>FHD_P_76</f>
        <v/>
      </c>
      <c r="G116" s="1878" t="s">
        <v>566</v>
      </c>
      <c r="H116" s="559"/>
      <c r="I116" s="559"/>
      <c r="J116" s="291" t="str">
        <f>FHD_NOTE_P_76</f>
        <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hidden="1">
      <c r="A117" s="2375"/>
      <c r="B117" s="912"/>
      <c r="C117" s="737"/>
      <c r="D117" s="735"/>
      <c r="E117" s="548" t="str">
        <f>FHD_NUM_P_77</f>
        <v/>
      </c>
      <c r="F117" s="1882" t="str">
        <f>FHD_P_77</f>
        <v/>
      </c>
      <c r="G117" s="1878" t="s">
        <v>566</v>
      </c>
      <c r="H117" s="559"/>
      <c r="I117" s="559"/>
      <c r="J117" s="291" t="str">
        <f>FHD_NOTE_P_77</f>
        <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hidden="1">
      <c r="A118" s="2375"/>
      <c r="D118" s="550"/>
      <c r="E118" s="1015" t="str">
        <f>E117&amp;".0"</f>
        <v>.0</v>
      </c>
      <c r="F118" s="999"/>
      <c r="G118" s="1653"/>
      <c r="H118" s="994"/>
      <c r="I118" s="994"/>
      <c r="J118" s="998"/>
      <c r="AF118" s="1638">
        <v>0</v>
      </c>
    </row>
    <row s="1637" customFormat="1" customHeight="1" ht="15" hidden="1">
      <c r="A119" s="2375"/>
      <c r="B119" s="912"/>
      <c r="C119" s="737"/>
      <c r="D119" s="748"/>
      <c r="E119" s="975"/>
      <c r="F119" s="976" t="s">
        <v>603</v>
      </c>
      <c r="G119" s="749"/>
      <c r="H119" s="750"/>
      <c r="I119" s="750"/>
      <c r="J119" s="1005" t="s">
        <v>604</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c r="A120" s="2373" t="s">
        <v>605</v>
      </c>
      <c r="D120" s="1640"/>
      <c r="E120" s="548" t="str">
        <f>FHD_NUM_P_78</f>
        <v>15</v>
      </c>
      <c r="F120" s="1882"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79" t="s">
        <v>568</v>
      </c>
      <c r="H120" s="579"/>
      <c r="I120" s="579"/>
      <c r="J120" s="291" t="str">
        <f>FHD_NOTE_P_78</f>
        <v/>
      </c>
      <c r="K120" s="545"/>
      <c r="AF120" s="1633">
        <v>0</v>
      </c>
    </row>
    <row s="1644" customFormat="1" customHeight="1" ht="0.75">
      <c r="A121" s="2373"/>
      <c r="D121" s="550"/>
      <c r="E121" s="1015" t="str">
        <f>E120&amp;".0"</f>
        <v>15.0</v>
      </c>
      <c r="F121" s="999"/>
      <c r="G121" s="1653"/>
      <c r="H121" s="994"/>
      <c r="I121" s="994"/>
      <c r="J121" s="998"/>
      <c r="AF121" s="1638">
        <v>0</v>
      </c>
    </row>
    <row customHeight="1" ht="15">
      <c r="A122" s="2373"/>
      <c r="D122" s="1635"/>
      <c r="E122" s="572"/>
      <c r="F122" s="1170" t="s">
        <v>594</v>
      </c>
      <c r="G122" s="574"/>
      <c r="H122" s="575"/>
      <c r="I122" s="575"/>
      <c r="J122" s="1006" t="s">
        <v>606</v>
      </c>
      <c r="K122" s="545"/>
      <c r="AF122" s="1633">
        <v>0</v>
      </c>
    </row>
    <row customHeight="1" ht="22.5">
      <c r="A123" s="2373"/>
      <c r="D123" s="1640"/>
      <c r="E123" s="548" t="str">
        <f>FHD_NUM_P_79</f>
        <v>16</v>
      </c>
      <c r="F123" s="1882"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80" t="s">
        <v>570</v>
      </c>
      <c r="H123" s="579"/>
      <c r="I123" s="579"/>
      <c r="J123" s="291"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5"/>
      <c r="AF123" s="1633">
        <v>0</v>
      </c>
    </row>
    <row s="1644" customFormat="1" customHeight="1" ht="0.75">
      <c r="A124" s="2373"/>
      <c r="D124" s="550"/>
      <c r="E124" s="1015" t="str">
        <f>E123&amp;".0"</f>
        <v>16.0</v>
      </c>
      <c r="F124" s="1000"/>
      <c r="G124" s="1653"/>
      <c r="H124" s="994"/>
      <c r="I124" s="994"/>
      <c r="J124" s="998"/>
      <c r="AF124" s="1638">
        <v>0</v>
      </c>
    </row>
    <row customHeight="1" ht="15">
      <c r="A125" s="2373"/>
      <c r="D125" s="1635"/>
      <c r="E125" s="572"/>
      <c r="F125" s="1170" t="s">
        <v>594</v>
      </c>
      <c r="G125" s="574"/>
      <c r="H125" s="575"/>
      <c r="I125" s="575"/>
      <c r="J125" s="1006" t="s">
        <v>607</v>
      </c>
      <c r="K125" s="545"/>
      <c r="AF125" s="1633">
        <v>0</v>
      </c>
    </row>
    <row customHeight="1" ht="22.5">
      <c r="A126" s="2373"/>
      <c r="D126" s="1640"/>
      <c r="E126" s="548" t="str">
        <f>FHD_NUM_P_80</f>
        <v>17</v>
      </c>
      <c r="F126" s="1882"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80" t="s">
        <v>608</v>
      </c>
      <c r="H126" s="559"/>
      <c r="I126" s="559"/>
      <c r="J126" s="291" t="str">
        <f>FHD_NOTE_P_80</f>
        <v>Регулируемыми организациями указывается информация с по договорам, заключенным в рамках осуществления регулируемой деятельности.</v>
      </c>
      <c r="K126" s="545"/>
      <c r="AF126" s="1633">
        <v>0</v>
      </c>
    </row>
    <row customHeight="1" ht="18.75">
      <c r="A127" s="2373"/>
      <c r="D127" s="1640"/>
      <c r="E127" s="548" t="str">
        <f>FHD_NUM_P_81</f>
        <v>18</v>
      </c>
      <c r="F127" s="1882"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80" t="s">
        <v>609</v>
      </c>
      <c r="H127" s="559"/>
      <c r="I127" s="559"/>
      <c r="J127" s="291" t="str">
        <f>FHD_NOTE_P_81</f>
        <v>Регулируемыми организациями указывается информация с по договорам, заключенным в рамках осуществления регулируемой деятельности.</v>
      </c>
      <c r="K127" s="545"/>
      <c r="AF127" s="1633">
        <v>0</v>
      </c>
    </row>
    <row customHeight="1" ht="18.75">
      <c r="A128" s="2373"/>
      <c r="C128" s="1638" t="s">
        <v>596</v>
      </c>
      <c r="D128" s="1640"/>
      <c r="E128" s="548" t="str">
        <f>FHD_NUM_P_82</f>
        <v>19</v>
      </c>
      <c r="F128" s="1882"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80" t="s">
        <v>315</v>
      </c>
      <c r="H128" s="403"/>
      <c r="I128" s="403"/>
      <c r="J128" s="291" t="str">
        <f>FHD_NOTE_P_82</f>
        <v>Указывается ссылка на документ, предварительно загруженный в хранилище файлов ФГИС ЕИАС.</v>
      </c>
      <c r="K128" s="545"/>
      <c r="AF128" s="1633">
        <v>0</v>
      </c>
    </row>
    <row customHeight="1" ht="18.75">
      <c r="A129" s="2373"/>
      <c r="C129" s="1638" t="s">
        <v>596</v>
      </c>
      <c r="D129" s="1640"/>
      <c r="E129" s="548" t="str">
        <f>FHD_NUM_P_83</f>
        <v>19.1</v>
      </c>
      <c r="F129" s="1526" t="str">
        <f>FHD_P_83</f>
        <v>Информация о показателях физического износа объектов теплоснабжения</v>
      </c>
      <c r="G129" s="1880" t="s">
        <v>315</v>
      </c>
      <c r="H129" s="403"/>
      <c r="I129" s="403"/>
      <c r="J129" s="291" t="str">
        <f>FHD_NOTE_P_83</f>
        <v>Указывается ссылка на документ, предварительно загруженный в хранилище файлов ФГИС ЕИАС.</v>
      </c>
      <c r="K129" s="545"/>
      <c r="AF129" s="1633">
        <v>0</v>
      </c>
    </row>
    <row customHeight="1" ht="18.75">
      <c r="A130" s="2373"/>
      <c r="C130" s="1638" t="s">
        <v>596</v>
      </c>
      <c r="D130" s="1640"/>
      <c r="E130" s="548" t="str">
        <f>FHD_NUM_P_84</f>
        <v>19.2</v>
      </c>
      <c r="F130" s="1526" t="str">
        <f>FHD_P_84</f>
        <v>Информация о показателях энергетической эффективности объектов теплоснабжения</v>
      </c>
      <c r="G130" s="1880" t="s">
        <v>315</v>
      </c>
      <c r="H130" s="403"/>
      <c r="I130" s="403"/>
      <c r="J130" s="291" t="str">
        <f>FHD_NOTE_P_84</f>
        <v>Указывается ссылка на документ, предварительно загруженный в хранилище файлов ФГИС ЕИАС.</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84</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B1D669-F7BC-DA0F-10E6-0.838CBFCC}"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11. Информация о расходах на капитальный и текущий ремонт основных средств</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309</v>
      </c>
      <c r="F9" s="2104"/>
      <c r="G9" s="2104"/>
      <c r="H9" s="2104"/>
      <c r="I9" s="2104"/>
      <c r="J9" s="2104"/>
      <c r="K9" s="2104"/>
      <c r="L9" s="2104"/>
      <c r="M9" s="2104"/>
      <c r="N9" s="2104"/>
      <c r="O9" s="2104"/>
      <c r="P9" s="2104"/>
      <c r="Q9" s="2104"/>
      <c r="R9" s="2105"/>
      <c r="S9" s="2129" t="s">
        <v>310</v>
      </c>
      <c r="T9" s="336"/>
      <c r="CF9" s="507">
        <v>19</v>
      </c>
    </row>
    <row customHeight="1" ht="48">
      <c r="D10" s="553" t="s">
        <v>90</v>
      </c>
      <c r="E10" s="2129" t="s">
        <v>90</v>
      </c>
      <c r="F10" s="2129"/>
      <c r="G10" s="523" t="s">
        <v>311</v>
      </c>
      <c r="H10" s="2129" t="s">
        <v>90</v>
      </c>
      <c r="I10" s="2129"/>
      <c r="J10" s="523" t="s">
        <v>610</v>
      </c>
      <c r="K10" s="523" t="s">
        <v>611</v>
      </c>
      <c r="L10" s="2129" t="s">
        <v>90</v>
      </c>
      <c r="M10" s="2129"/>
      <c r="N10" s="523" t="s">
        <v>612</v>
      </c>
      <c r="O10" s="523" t="s">
        <v>613</v>
      </c>
      <c r="P10" s="523" t="s">
        <v>614</v>
      </c>
      <c r="Q10" s="523" t="s">
        <v>615</v>
      </c>
      <c r="R10" s="523" t="s">
        <v>616</v>
      </c>
      <c r="S10" s="2129"/>
      <c r="T10" s="336"/>
      <c r="CF10" s="507">
        <v>46</v>
      </c>
    </row>
    <row s="1644" customFormat="1" customHeight="1" ht="15" hidden="1">
      <c r="A11" s="1054"/>
      <c r="D11" s="1027" t="s">
        <v>111</v>
      </c>
      <c r="E11" s="1027"/>
      <c r="F11" s="1027" t="s">
        <v>112</v>
      </c>
      <c r="G11" s="1027" t="s">
        <v>92</v>
      </c>
      <c r="H11" s="1027"/>
      <c r="I11" s="1027" t="s">
        <v>93</v>
      </c>
      <c r="J11" s="1027" t="s">
        <v>113</v>
      </c>
      <c r="K11" s="1027" t="s">
        <v>94</v>
      </c>
      <c r="L11" s="1027"/>
      <c r="M11" s="1027" t="s">
        <v>95</v>
      </c>
      <c r="N11" s="1027" t="s">
        <v>114</v>
      </c>
      <c r="O11" s="1027" t="s">
        <v>150</v>
      </c>
      <c r="P11" s="1027" t="s">
        <v>151</v>
      </c>
      <c r="Q11" s="1027" t="s">
        <v>152</v>
      </c>
      <c r="R11" s="1027" t="s">
        <v>153</v>
      </c>
      <c r="S11" s="1027" t="s">
        <v>154</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385</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119</v>
      </c>
      <c r="B14" s="626"/>
      <c r="C14" s="626"/>
      <c r="D14" s="2382" t="s">
        <v>111</v>
      </c>
      <c r="E14" s="2379" t="s">
        <v>107</v>
      </c>
      <c r="F14" s="2380"/>
      <c r="G14" s="2381"/>
      <c r="H14" s="2385">
        <f>IF(A14="","",INDEX(DIFFERENTIATION_UNMERGE_VD,MATCH(A14,DIFFERENTIATION_ID_DIFF,0)))</f>
        <v>0</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28</v>
      </c>
      <c r="AF14" s="632"/>
      <c r="AG14" s="633" t="s">
        <v>617</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572</v>
      </c>
      <c r="F15" s="2380"/>
      <c r="G15" s="2381"/>
      <c r="H15" s="2385" t="str">
        <f>IF(A14="","",INDEX(DIFFERENTIATION_UNMERGE_AREA,MATCH(A14,DIFFERENTIATION_ID_DIFF,0)))</f>
        <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573</v>
      </c>
      <c r="F16" s="2380"/>
      <c r="G16" s="2381"/>
      <c r="H16" s="2385" t="str">
        <f>IF(A14="","",INDEX(DIFFERENTIATION_UNMERGE_SYSTEM,MATCH(A14,DIFFERENTIATION_ID_DIFF,0)))</f>
        <v>без дифференциации</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618</v>
      </c>
      <c r="F17" s="2378"/>
      <c r="G17" s="2378"/>
      <c r="H17" s="2378"/>
      <c r="I17" s="2378"/>
      <c r="J17" s="2378"/>
      <c r="K17" s="2378"/>
      <c r="L17" s="2378"/>
      <c r="M17" s="2378"/>
      <c r="N17" s="2378"/>
      <c r="O17" s="2378"/>
      <c r="P17" s="2378"/>
      <c r="Q17" s="560">
        <f>SUMIF(T18:T19,"i",Q18:Q19)</f>
        <v>0</v>
      </c>
      <c r="R17" s="1019"/>
      <c r="S17" s="899" t="s">
        <v>619</v>
      </c>
      <c r="T17" s="719" t="s">
        <v>620</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28</v>
      </c>
      <c r="F19" s="652" t="s">
        <v>28</v>
      </c>
      <c r="G19" s="652" t="s">
        <v>28</v>
      </c>
      <c r="H19" s="653" t="s">
        <v>28</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621</v>
      </c>
      <c r="F20" s="2378"/>
      <c r="G20" s="2378"/>
      <c r="H20" s="2378"/>
      <c r="I20" s="2378"/>
      <c r="J20" s="2378"/>
      <c r="K20" s="2378"/>
      <c r="L20" s="2378"/>
      <c r="M20" s="2378"/>
      <c r="N20" s="2378"/>
      <c r="O20" s="2378"/>
      <c r="P20" s="2378"/>
      <c r="Q20" s="560">
        <f>SUMIF(T21:T22,"i",Q21:Q22)</f>
        <v>0</v>
      </c>
      <c r="R20" s="1019"/>
      <c r="S20" s="711" t="s">
        <v>622</v>
      </c>
      <c r="T20" s="719" t="s">
        <v>620</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28</v>
      </c>
      <c r="F22" s="652" t="s">
        <v>28</v>
      </c>
      <c r="G22" s="652" t="s">
        <v>28</v>
      </c>
      <c r="H22" s="653" t="s">
        <v>28</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84</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EC8664-C71A-37A6-50DB-0.16164487}"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623</v>
      </c>
      <c r="C2" s="2055" t="s">
        <v>624</v>
      </c>
      <c r="D2" s="2054" t="s">
        <v>625</v>
      </c>
      <c r="E2" s="2058">
        <f>RIGHT(I2,LEN(I2)-SEARCH("#",SUBSTITUTE(I2,".","#",LEN(I2)-LEN(SUBSTITUTE(I2,".","")))))</f>
      </c>
      <c r="F2" s="2060">
        <f>J2</f>
        <v>0</v>
      </c>
      <c r="G2" s="1638"/>
      <c r="H2" s="2061"/>
      <c r="I2" s="2051"/>
      <c r="J2" s="542"/>
      <c r="K2" s="2021" t="s">
        <v>564</v>
      </c>
      <c r="L2" s="753"/>
      <c r="M2" s="753"/>
      <c r="N2" s="545"/>
      <c r="O2" s="1527" t="s">
        <v>565</v>
      </c>
      <c r="P2" s="545"/>
      <c r="Q2" s="1638"/>
      <c r="R2" s="1638"/>
      <c r="W2" s="1638"/>
      <c r="Z2" s="546"/>
      <c r="AF2" s="1634"/>
      <c r="AG2" s="1634"/>
      <c r="AH2" s="1634"/>
      <c r="AI2" s="1634"/>
      <c r="AJ2" s="1634"/>
      <c r="AK2" s="1368">
        <v>0</v>
      </c>
    </row>
    <row customHeight="1" ht="11.25" hidden="1">
      <c r="E3" s="2053" t="s">
        <v>626</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627</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119</v>
      </c>
      <c r="AK9" s="1638">
        <v>1</v>
      </c>
    </row>
    <row customHeight="1" ht="11.25">
      <c r="E10" s="2052" t="s">
        <v>628</v>
      </c>
      <c r="I10" s="713"/>
      <c r="J10" s="2369" t="s">
        <v>107</v>
      </c>
      <c r="K10" s="2370"/>
      <c r="L10" s="2031" t="str">
        <f>IF(L9="","",INDEX(DIFFERENTIATION_UNMERGE_VD,MATCH(L9,DIFFERENTIATION_ID_DIFF,0)))</f>
        <v/>
      </c>
      <c r="M10" s="2031">
        <f>IF(M9="","",INDEX(DIFFERENTIATION_UNMERGE_VD,MATCH(M9,DIFFERENTIATION_ID_DIFF,0)))</f>
        <v>0</v>
      </c>
      <c r="O10" s="2129" t="s">
        <v>310</v>
      </c>
      <c r="AK10" s="1633">
        <v>11</v>
      </c>
    </row>
    <row customHeight="1" ht="11.25">
      <c r="E11" s="2052" t="s">
        <v>629</v>
      </c>
      <c r="I11" s="713"/>
      <c r="J11" s="2369" t="s">
        <v>572</v>
      </c>
      <c r="K11" s="2370"/>
      <c r="L11" s="2031" t="str">
        <f>IF(L9="","",INDEX(DIFFERENTIATION_UNMERGE_AREA,MATCH(L9,DIFFERENTIATION_ID_DIFF,0)))</f>
        <v/>
      </c>
      <c r="M11" s="2031" t="str">
        <f>IF(M9="","",INDEX(DIFFERENTIATION_UNMERGE_AREA,MATCH(M9,DIFFERENTIATION_ID_DIFF,0)))</f>
        <v/>
      </c>
      <c r="O11" s="2129"/>
      <c r="AK11" s="1633">
        <v>11</v>
      </c>
    </row>
    <row customHeight="1" ht="11.25">
      <c r="E12" s="2052" t="s">
        <v>630</v>
      </c>
      <c r="I12" s="1664"/>
      <c r="J12" s="2369" t="s">
        <v>573</v>
      </c>
      <c r="K12" s="2370"/>
      <c r="L12" s="2031" t="str">
        <f>IF(L9="","",INDEX(DIFFERENTIATION_UNMERGE_SYSTEM,MATCH(L9,DIFFERENTIATION_ID_DIFF,0)))</f>
        <v/>
      </c>
      <c r="M12" s="2031" t="str">
        <f>IF(M9="","",INDEX(DIFFERENTIATION_UNMERGE_SYSTEM,MATCH(M9,DIFFERENTIATION_ID_DIFF,0)))</f>
        <v>без дифференциации</v>
      </c>
      <c r="O12" s="2129"/>
      <c r="AK12" s="1633">
        <v>11</v>
      </c>
    </row>
    <row customHeight="1" ht="11.25">
      <c r="E13" s="2052" t="s">
        <v>631</v>
      </c>
      <c r="F13" s="2052" t="s">
        <v>632</v>
      </c>
      <c r="I13" s="2371" t="s">
        <v>309</v>
      </c>
      <c r="J13" s="2372"/>
      <c r="K13" s="2372"/>
      <c r="L13" s="2029"/>
      <c r="M13" s="2069"/>
      <c r="O13" s="2129"/>
      <c r="AK13" s="1633">
        <v>11</v>
      </c>
    </row>
    <row customHeight="1" ht="24">
      <c r="I14" s="2022" t="s">
        <v>90</v>
      </c>
      <c r="J14" s="2022" t="s">
        <v>311</v>
      </c>
      <c r="K14" s="2022" t="s">
        <v>574</v>
      </c>
      <c r="L14" s="2062" t="s">
        <v>312</v>
      </c>
      <c r="M14" s="2063" t="s">
        <v>312</v>
      </c>
      <c r="O14" s="2129"/>
      <c r="AK14" s="1633">
        <v>23</v>
      </c>
    </row>
    <row customHeight="1" ht="24">
      <c r="A15" s="2056"/>
      <c r="B15" s="2055" t="s">
        <v>633</v>
      </c>
      <c r="C15" s="2055" t="s">
        <v>634</v>
      </c>
      <c r="D15" s="2054" t="s">
        <v>635</v>
      </c>
      <c r="E15" s="2058" t="s">
        <v>636</v>
      </c>
      <c r="F15" s="2058" t="s">
        <v>636</v>
      </c>
      <c r="G15" s="1638" t="s">
        <v>596</v>
      </c>
      <c r="H15" s="2023"/>
      <c r="I15" s="1632">
        <v>1</v>
      </c>
      <c r="J15" s="2024" t="s">
        <v>637</v>
      </c>
      <c r="K15" s="2022" t="s">
        <v>315</v>
      </c>
      <c r="L15" s="664"/>
      <c r="M15" s="820"/>
      <c r="N15" s="545" t="s">
        <v>638</v>
      </c>
      <c r="O15" s="1527" t="s">
        <v>639</v>
      </c>
      <c r="P15" s="545" t="s">
        <v>638</v>
      </c>
      <c r="AK15" s="1633">
        <v>23</v>
      </c>
    </row>
    <row customHeight="1" ht="36">
      <c r="A16" s="2056"/>
      <c r="B16" s="2055" t="s">
        <v>640</v>
      </c>
      <c r="C16" s="2055" t="s">
        <v>641</v>
      </c>
      <c r="D16" s="2054" t="s">
        <v>625</v>
      </c>
      <c r="E16" s="2058" t="s">
        <v>636</v>
      </c>
      <c r="F16" s="2058" t="s">
        <v>636</v>
      </c>
      <c r="H16" s="2023"/>
      <c r="I16" s="1631">
        <v>2</v>
      </c>
      <c r="J16" s="2065" t="s">
        <v>642</v>
      </c>
      <c r="K16" s="2064" t="s">
        <v>564</v>
      </c>
      <c r="L16" s="2070"/>
      <c r="M16" s="1678"/>
      <c r="N16" s="545" t="s">
        <v>638</v>
      </c>
      <c r="O16" s="1527" t="s">
        <v>643</v>
      </c>
      <c r="P16" s="545" t="s">
        <v>638</v>
      </c>
      <c r="AK16" s="1633">
        <v>34</v>
      </c>
    </row>
    <row s="1644" customFormat="1" customHeight="1" ht="17.25" hidden="1">
      <c r="A17" s="1169"/>
      <c r="B17" s="1169"/>
      <c r="C17" s="1169"/>
      <c r="D17" s="1169"/>
      <c r="E17" s="1169"/>
      <c r="H17" s="1326"/>
      <c r="I17" s="1015" t="s">
        <v>644</v>
      </c>
      <c r="J17" s="993"/>
      <c r="K17" s="1015"/>
      <c r="L17" s="994"/>
      <c r="M17" s="994"/>
      <c r="O17" s="1387"/>
      <c r="AK17" s="1638">
        <v>1</v>
      </c>
    </row>
    <row s="1368" customFormat="1" customHeight="1" ht="24">
      <c r="A18" s="989"/>
      <c r="B18" s="989"/>
      <c r="C18" s="989"/>
      <c r="D18" s="989"/>
      <c r="E18" s="989"/>
      <c r="G18" s="1638"/>
      <c r="H18" s="1635"/>
      <c r="I18" s="572"/>
      <c r="J18" s="573" t="s">
        <v>594</v>
      </c>
      <c r="K18" s="574"/>
      <c r="L18" s="2072"/>
      <c r="M18" s="575"/>
      <c r="N18" s="545"/>
      <c r="O18" s="1527" t="s">
        <v>595</v>
      </c>
      <c r="P18" s="545"/>
      <c r="Q18" s="1638"/>
      <c r="R18" s="1638"/>
      <c r="W18" s="1638"/>
      <c r="Z18" s="546"/>
      <c r="AF18" s="1634"/>
      <c r="AG18" s="1634"/>
      <c r="AH18" s="1634"/>
      <c r="AI18" s="1634"/>
      <c r="AJ18" s="1634"/>
      <c r="AK18" s="1368">
        <v>23</v>
      </c>
    </row>
    <row customHeight="1" ht="20.25">
      <c r="A19" s="2056"/>
      <c r="B19" s="2055" t="s">
        <v>645</v>
      </c>
      <c r="C19" s="2055" t="s">
        <v>646</v>
      </c>
      <c r="D19" s="2054" t="s">
        <v>625</v>
      </c>
      <c r="E19" s="2058" t="s">
        <v>636</v>
      </c>
      <c r="F19" s="2058" t="s">
        <v>636</v>
      </c>
      <c r="H19" s="2023"/>
      <c r="I19" s="1666">
        <v>3</v>
      </c>
      <c r="J19" s="2024" t="s">
        <v>646</v>
      </c>
      <c r="K19" s="2020" t="s">
        <v>564</v>
      </c>
      <c r="L19" s="729"/>
      <c r="M19" s="559"/>
      <c r="N19" s="545"/>
      <c r="O19" s="1527" t="s">
        <v>647</v>
      </c>
      <c r="P19" s="545"/>
      <c r="AK19" s="1633">
        <v>19</v>
      </c>
    </row>
    <row customHeight="1" ht="78">
      <c r="A20" s="2056"/>
      <c r="B20" s="2055" t="s">
        <v>648</v>
      </c>
      <c r="C20" s="2055" t="s">
        <v>649</v>
      </c>
      <c r="D20" s="2054" t="s">
        <v>625</v>
      </c>
      <c r="E20" s="2058" t="s">
        <v>636</v>
      </c>
      <c r="F20" s="2058" t="s">
        <v>636</v>
      </c>
      <c r="H20" s="2023"/>
      <c r="I20" s="1666">
        <v>4</v>
      </c>
      <c r="J20" s="2024" t="s">
        <v>650</v>
      </c>
      <c r="K20" s="2020" t="s">
        <v>591</v>
      </c>
      <c r="L20" s="729"/>
      <c r="M20" s="559"/>
      <c r="N20" s="545"/>
      <c r="O20" s="1527"/>
      <c r="P20" s="545"/>
      <c r="AK20" s="1633">
        <v>74</v>
      </c>
    </row>
    <row customHeight="1" ht="36">
      <c r="A21" s="2056"/>
      <c r="B21" s="2055" t="s">
        <v>651</v>
      </c>
      <c r="C21" s="2055" t="s">
        <v>652</v>
      </c>
      <c r="D21" s="2054" t="s">
        <v>625</v>
      </c>
      <c r="E21" s="2058" t="s">
        <v>636</v>
      </c>
      <c r="F21" s="2058" t="s">
        <v>636</v>
      </c>
      <c r="H21" s="2023"/>
      <c r="I21" s="1666">
        <v>5</v>
      </c>
      <c r="J21" s="2024" t="s">
        <v>653</v>
      </c>
      <c r="K21" s="2020" t="s">
        <v>591</v>
      </c>
      <c r="L21" s="729"/>
      <c r="M21" s="559"/>
      <c r="N21" s="545"/>
      <c r="O21" s="1527" t="s">
        <v>647</v>
      </c>
      <c r="P21" s="545"/>
      <c r="AK21" s="1633">
        <v>34</v>
      </c>
    </row>
    <row customHeight="1" ht="48">
      <c r="A22" s="2056"/>
      <c r="B22" s="2055" t="s">
        <v>654</v>
      </c>
      <c r="C22" s="2055" t="s">
        <v>655</v>
      </c>
      <c r="D22" s="2054" t="s">
        <v>625</v>
      </c>
      <c r="E22" s="2058" t="s">
        <v>636</v>
      </c>
      <c r="F22" s="2058" t="s">
        <v>636</v>
      </c>
      <c r="H22" s="2023"/>
      <c r="I22" s="1666">
        <v>6</v>
      </c>
      <c r="J22" s="2024" t="s">
        <v>656</v>
      </c>
      <c r="K22" s="2020" t="s">
        <v>591</v>
      </c>
      <c r="L22" s="729"/>
      <c r="M22" s="559"/>
      <c r="N22" s="545"/>
      <c r="O22" s="1527" t="s">
        <v>657</v>
      </c>
      <c r="P22" s="545"/>
      <c r="AK22" s="1633">
        <v>46</v>
      </c>
    </row>
    <row customHeight="1" ht="20.25">
      <c r="A23" s="2056"/>
      <c r="B23" s="2055" t="s">
        <v>658</v>
      </c>
      <c r="C23" s="2055" t="s">
        <v>659</v>
      </c>
      <c r="D23" s="2054" t="s">
        <v>625</v>
      </c>
      <c r="E23" s="2058" t="s">
        <v>636</v>
      </c>
      <c r="F23" s="2058" t="s">
        <v>636</v>
      </c>
      <c r="H23" s="2023"/>
      <c r="I23" s="1666" t="s">
        <v>660</v>
      </c>
      <c r="J23" s="1526" t="s">
        <v>661</v>
      </c>
      <c r="K23" s="2020" t="s">
        <v>591</v>
      </c>
      <c r="L23" s="729"/>
      <c r="M23" s="559"/>
      <c r="N23" s="545"/>
      <c r="O23" s="1527" t="s">
        <v>647</v>
      </c>
      <c r="P23" s="545"/>
      <c r="AK23" s="1633">
        <v>19</v>
      </c>
    </row>
    <row customHeight="1" ht="20.25">
      <c r="A24" s="2056"/>
      <c r="B24" s="2055" t="s">
        <v>662</v>
      </c>
      <c r="C24" s="2055" t="s">
        <v>663</v>
      </c>
      <c r="D24" s="2054" t="s">
        <v>625</v>
      </c>
      <c r="E24" s="2058" t="s">
        <v>636</v>
      </c>
      <c r="F24" s="2058" t="s">
        <v>636</v>
      </c>
      <c r="H24" s="2023"/>
      <c r="I24" s="1666" t="s">
        <v>664</v>
      </c>
      <c r="J24" s="1526" t="s">
        <v>665</v>
      </c>
      <c r="K24" s="2020" t="s">
        <v>591</v>
      </c>
      <c r="L24" s="729"/>
      <c r="M24" s="559"/>
      <c r="N24" s="545"/>
      <c r="O24" s="1527"/>
      <c r="P24" s="545"/>
      <c r="AK24" s="1633">
        <v>19</v>
      </c>
    </row>
    <row customHeight="1" ht="24">
      <c r="A25" s="2056"/>
      <c r="B25" s="2055" t="s">
        <v>666</v>
      </c>
      <c r="C25" s="2055" t="s">
        <v>667</v>
      </c>
      <c r="D25" s="2054" t="s">
        <v>625</v>
      </c>
      <c r="E25" s="2058" t="s">
        <v>636</v>
      </c>
      <c r="F25" s="2058" t="s">
        <v>636</v>
      </c>
      <c r="H25" s="2023"/>
      <c r="I25" s="1666" t="s">
        <v>668</v>
      </c>
      <c r="J25" s="1526" t="s">
        <v>669</v>
      </c>
      <c r="K25" s="2020" t="s">
        <v>591</v>
      </c>
      <c r="L25" s="729"/>
      <c r="M25" s="559"/>
      <c r="N25" s="545"/>
      <c r="O25" s="1527"/>
      <c r="P25" s="545"/>
      <c r="AK25" s="1633">
        <v>23</v>
      </c>
    </row>
    <row customHeight="1" ht="24">
      <c r="A26" s="2056"/>
      <c r="B26" s="2055" t="s">
        <v>670</v>
      </c>
      <c r="C26" s="2055" t="s">
        <v>671</v>
      </c>
      <c r="D26" s="2054" t="s">
        <v>625</v>
      </c>
      <c r="E26" s="2058" t="s">
        <v>636</v>
      </c>
      <c r="F26" s="2058" t="s">
        <v>636</v>
      </c>
      <c r="H26" s="2023"/>
      <c r="I26" s="1666">
        <v>7</v>
      </c>
      <c r="J26" s="2024" t="s">
        <v>671</v>
      </c>
      <c r="K26" s="2020" t="s">
        <v>672</v>
      </c>
      <c r="L26" s="729"/>
      <c r="M26" s="559"/>
      <c r="N26" s="545"/>
      <c r="O26" s="1527"/>
      <c r="P26" s="545"/>
      <c r="AK26" s="1633">
        <v>23</v>
      </c>
    </row>
    <row customHeight="1" ht="24">
      <c r="A27" s="2056"/>
      <c r="B27" s="2055" t="s">
        <v>673</v>
      </c>
      <c r="C27" s="2055" t="s">
        <v>674</v>
      </c>
      <c r="D27" s="2054" t="s">
        <v>625</v>
      </c>
      <c r="E27" s="2058" t="s">
        <v>636</v>
      </c>
      <c r="F27" s="2058" t="s">
        <v>636</v>
      </c>
      <c r="H27" s="2023"/>
      <c r="I27" s="1666">
        <v>8</v>
      </c>
      <c r="J27" s="2024" t="s">
        <v>674</v>
      </c>
      <c r="K27" s="2020" t="s">
        <v>597</v>
      </c>
      <c r="L27" s="729"/>
      <c r="M27" s="559"/>
      <c r="N27" s="545"/>
      <c r="O27" s="1527"/>
      <c r="P27" s="545"/>
      <c r="AK27" s="1633">
        <v>23</v>
      </c>
    </row>
    <row customHeight="1" ht="36">
      <c r="A28" s="2056"/>
      <c r="B28" s="2055" t="s">
        <v>675</v>
      </c>
      <c r="C28" s="2055" t="s">
        <v>676</v>
      </c>
      <c r="D28" s="2054" t="s">
        <v>625</v>
      </c>
      <c r="E28" s="2058" t="s">
        <v>636</v>
      </c>
      <c r="F28" s="2058" t="s">
        <v>636</v>
      </c>
      <c r="H28" s="2023"/>
      <c r="I28" s="1677">
        <v>9</v>
      </c>
      <c r="J28" s="2024" t="s">
        <v>677</v>
      </c>
      <c r="K28" s="2020" t="s">
        <v>568</v>
      </c>
      <c r="L28" s="729"/>
      <c r="M28" s="559"/>
      <c r="N28" s="545"/>
      <c r="O28" s="1527"/>
      <c r="P28" s="545"/>
      <c r="AK28" s="1633">
        <v>34</v>
      </c>
    </row>
    <row customHeight="1" ht="36">
      <c r="A29" s="2056"/>
      <c r="B29" s="2055" t="s">
        <v>678</v>
      </c>
      <c r="C29" s="2055" t="s">
        <v>679</v>
      </c>
      <c r="D29" s="2054" t="s">
        <v>625</v>
      </c>
      <c r="E29" s="2058" t="s">
        <v>636</v>
      </c>
      <c r="F29" s="2058" t="s">
        <v>636</v>
      </c>
      <c r="H29" s="2023"/>
      <c r="I29" s="1677">
        <v>10</v>
      </c>
      <c r="J29" s="2024" t="s">
        <v>680</v>
      </c>
      <c r="K29" s="2020" t="s">
        <v>568</v>
      </c>
      <c r="L29" s="729"/>
      <c r="M29" s="559"/>
      <c r="N29" s="545"/>
      <c r="O29" s="1527"/>
      <c r="P29" s="545"/>
      <c r="AK29" s="1633">
        <v>34</v>
      </c>
    </row>
    <row customHeight="1" ht="24">
      <c r="A30" s="2056"/>
      <c r="B30" s="2055" t="s">
        <v>681</v>
      </c>
      <c r="C30" s="2055" t="s">
        <v>682</v>
      </c>
      <c r="D30" s="2054" t="s">
        <v>625</v>
      </c>
      <c r="E30" s="2058" t="s">
        <v>636</v>
      </c>
      <c r="F30" s="2058" t="s">
        <v>636</v>
      </c>
      <c r="H30" s="2023"/>
      <c r="I30" s="1677">
        <v>11</v>
      </c>
      <c r="J30" s="2024" t="s">
        <v>682</v>
      </c>
      <c r="K30" s="2020" t="s">
        <v>598</v>
      </c>
      <c r="L30" s="2071"/>
      <c r="M30" s="1623"/>
      <c r="N30" s="545"/>
      <c r="O30" s="1527"/>
      <c r="P30" s="545"/>
      <c r="AK30" s="1633">
        <v>23</v>
      </c>
    </row>
    <row customHeight="1" ht="24">
      <c r="A31" s="2056"/>
      <c r="B31" s="2055" t="s">
        <v>683</v>
      </c>
      <c r="C31" s="2055" t="s">
        <v>684</v>
      </c>
      <c r="D31" s="2054" t="s">
        <v>625</v>
      </c>
      <c r="E31" s="2058" t="s">
        <v>636</v>
      </c>
      <c r="F31" s="2058" t="s">
        <v>636</v>
      </c>
      <c r="H31" s="2023"/>
      <c r="I31" s="1677">
        <v>12</v>
      </c>
      <c r="J31" s="2024" t="s">
        <v>684</v>
      </c>
      <c r="K31" s="2020" t="s">
        <v>598</v>
      </c>
      <c r="L31" s="2071"/>
      <c r="M31" s="1623"/>
      <c r="N31" s="545"/>
      <c r="O31" s="1527"/>
      <c r="P31" s="545"/>
      <c r="AK31" s="1633">
        <v>23</v>
      </c>
    </row>
    <row customHeight="1" ht="48">
      <c r="A32" s="2056"/>
      <c r="B32" s="2055" t="s">
        <v>685</v>
      </c>
      <c r="C32" s="2055" t="s">
        <v>686</v>
      </c>
      <c r="D32" s="2054" t="s">
        <v>625</v>
      </c>
      <c r="E32" s="2058" t="s">
        <v>636</v>
      </c>
      <c r="F32" s="2058" t="s">
        <v>636</v>
      </c>
      <c r="H32" s="2023"/>
      <c r="I32" s="1677">
        <v>13</v>
      </c>
      <c r="J32" s="2024" t="s">
        <v>687</v>
      </c>
      <c r="K32" s="2020" t="s">
        <v>608</v>
      </c>
      <c r="L32" s="729"/>
      <c r="M32" s="559"/>
      <c r="N32" s="545"/>
      <c r="O32" s="1527" t="s">
        <v>647</v>
      </c>
      <c r="P32" s="545"/>
      <c r="AK32" s="1633">
        <v>46</v>
      </c>
    </row>
    <row s="1368" customFormat="1" customHeight="1" ht="48">
      <c r="A33" s="2056"/>
      <c r="B33" s="2055" t="s">
        <v>688</v>
      </c>
      <c r="C33" s="2055" t="s">
        <v>689</v>
      </c>
      <c r="D33" s="2054" t="s">
        <v>625</v>
      </c>
      <c r="E33" s="2058" t="s">
        <v>636</v>
      </c>
      <c r="F33" s="2058" t="s">
        <v>636</v>
      </c>
      <c r="G33" s="1638"/>
      <c r="H33" s="2023"/>
      <c r="I33" s="1677">
        <v>14</v>
      </c>
      <c r="J33" s="2036" t="s">
        <v>690</v>
      </c>
      <c r="K33" s="2025" t="s">
        <v>691</v>
      </c>
      <c r="L33" s="729"/>
      <c r="M33" s="559"/>
      <c r="N33" s="545"/>
      <c r="O33" s="1527" t="s">
        <v>647</v>
      </c>
      <c r="P33" s="545"/>
      <c r="Q33" s="1638"/>
      <c r="R33" s="1638"/>
      <c r="W33" s="1638"/>
      <c r="Z33" s="546"/>
      <c r="AF33" s="1634"/>
      <c r="AG33" s="1634"/>
      <c r="AH33" s="1634"/>
      <c r="AI33" s="1634"/>
      <c r="AJ33" s="1634"/>
      <c r="AK33" s="1368">
        <v>46</v>
      </c>
    </row>
    <row customHeight="1" ht="108">
      <c r="A34" s="2056"/>
      <c r="B34" s="2055" t="s">
        <v>692</v>
      </c>
      <c r="C34" s="2055" t="s">
        <v>693</v>
      </c>
      <c r="D34" s="2054" t="s">
        <v>635</v>
      </c>
      <c r="E34" s="2058" t="s">
        <v>636</v>
      </c>
      <c r="F34" s="2058" t="s">
        <v>636</v>
      </c>
      <c r="G34" s="1638" t="s">
        <v>596</v>
      </c>
      <c r="H34" s="2023"/>
      <c r="I34" s="2034">
        <v>15</v>
      </c>
      <c r="J34" s="2035" t="s">
        <v>694</v>
      </c>
      <c r="K34" s="2020" t="s">
        <v>315</v>
      </c>
      <c r="L34" s="387"/>
      <c r="M34" s="1166"/>
      <c r="N34" s="545"/>
      <c r="O34" s="1527" t="s">
        <v>639</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84</v>
      </c>
      <c r="B204" s="989" t="s">
        <v>151</v>
      </c>
      <c r="C204" s="989" t="s">
        <v>151</v>
      </c>
      <c r="D204" s="989" t="s">
        <v>151</v>
      </c>
      <c r="E204" s="989" t="s">
        <v>151</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1796A7-1928-781C-BD56-0.AF15665}"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695</v>
      </c>
      <c r="C2" s="2055" t="s">
        <v>696</v>
      </c>
      <c r="D2" s="2054" t="s">
        <v>635</v>
      </c>
      <c r="E2" s="2060">
        <f>I2-3</f>
        <v>-3</v>
      </c>
      <c r="F2" s="2060">
        <f>J2</f>
        <v>0</v>
      </c>
      <c r="H2" s="1732" t="s">
        <v>454</v>
      </c>
      <c r="I2" s="2026"/>
      <c r="J2" s="1684"/>
      <c r="K2" s="2020" t="s">
        <v>315</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697</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309</v>
      </c>
      <c r="J8" s="2389"/>
      <c r="K8" s="2389"/>
      <c r="L8" s="2390"/>
      <c r="M8" s="2391" t="s">
        <v>310</v>
      </c>
      <c r="W8" s="1633">
        <v>14</v>
      </c>
    </row>
    <row customHeight="1" ht="36">
      <c r="E9" s="2053" t="s">
        <v>626</v>
      </c>
      <c r="F9" s="2053" t="s">
        <v>632</v>
      </c>
      <c r="H9" s="378"/>
      <c r="I9" s="2027" t="s">
        <v>90</v>
      </c>
      <c r="J9" s="2028" t="s">
        <v>311</v>
      </c>
      <c r="K9" s="2066" t="s">
        <v>574</v>
      </c>
      <c r="L9" s="2067" t="s">
        <v>312</v>
      </c>
      <c r="M9" s="2391"/>
      <c r="W9" s="1633">
        <v>34</v>
      </c>
    </row>
    <row customHeight="1" ht="36">
      <c r="B10" s="2055" t="s">
        <v>698</v>
      </c>
      <c r="C10" s="2055" t="s">
        <v>699</v>
      </c>
      <c r="D10" s="2054" t="s">
        <v>635</v>
      </c>
      <c r="E10" s="2058" t="s">
        <v>636</v>
      </c>
      <c r="F10" s="2058" t="s">
        <v>636</v>
      </c>
      <c r="H10" s="378"/>
      <c r="I10" s="2026" t="s">
        <v>111</v>
      </c>
      <c r="J10" s="1888" t="s">
        <v>700</v>
      </c>
      <c r="K10" s="2020" t="s">
        <v>315</v>
      </c>
      <c r="L10" s="820"/>
      <c r="M10" s="299" t="s">
        <v>701</v>
      </c>
      <c r="W10" s="1633">
        <v>34</v>
      </c>
    </row>
    <row customHeight="1" ht="50.25">
      <c r="B11" s="2055" t="s">
        <v>702</v>
      </c>
      <c r="C11" s="2055" t="s">
        <v>703</v>
      </c>
      <c r="D11" s="2054" t="s">
        <v>635</v>
      </c>
      <c r="E11" s="2058" t="s">
        <v>636</v>
      </c>
      <c r="F11" s="2058" t="s">
        <v>636</v>
      </c>
      <c r="H11" s="378"/>
      <c r="I11" s="2026" t="s">
        <v>112</v>
      </c>
      <c r="J11" s="1888" t="s">
        <v>704</v>
      </c>
      <c r="K11" s="2020" t="s">
        <v>315</v>
      </c>
      <c r="L11" s="820"/>
      <c r="M11" s="299" t="s">
        <v>701</v>
      </c>
      <c r="W11" s="1633">
        <v>48</v>
      </c>
    </row>
    <row customHeight="1" ht="48">
      <c r="B12" s="2055" t="s">
        <v>705</v>
      </c>
      <c r="C12" s="2055" t="s">
        <v>706</v>
      </c>
      <c r="D12" s="2054" t="s">
        <v>635</v>
      </c>
      <c r="E12" s="2058" t="s">
        <v>636</v>
      </c>
      <c r="F12" s="2058" t="s">
        <v>636</v>
      </c>
      <c r="H12" s="1690"/>
      <c r="I12" s="2026" t="s">
        <v>92</v>
      </c>
      <c r="J12" s="2033" t="s">
        <v>707</v>
      </c>
      <c r="K12" s="2020" t="s">
        <v>315</v>
      </c>
      <c r="L12" s="820"/>
      <c r="M12" s="299" t="s">
        <v>708</v>
      </c>
      <c r="N12" s="1626"/>
      <c r="P12" s="1633"/>
      <c r="W12" s="1633">
        <v>46</v>
      </c>
    </row>
    <row customHeight="1" ht="15">
      <c r="E13" s="345"/>
      <c r="H13" s="378"/>
      <c r="I13" s="349"/>
      <c r="J13" s="653" t="s">
        <v>709</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84</v>
      </c>
      <c r="B16" s="1633">
        <v>9</v>
      </c>
      <c r="C16" s="1633">
        <v>9</v>
      </c>
      <c r="D16" s="1633">
        <v>9</v>
      </c>
      <c r="E16" s="2032" t="s">
        <v>150</v>
      </c>
      <c r="F16" s="2057" t="s">
        <v>150</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794056E-6C45-F9C1-D999-0.2F65F35}"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560</v>
      </c>
      <c r="H2" s="543"/>
      <c r="I2" s="543"/>
      <c r="J2" s="544" t="s">
        <v>710</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711</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119</v>
      </c>
      <c r="AF9" s="1638">
        <v>4</v>
      </c>
    </row>
    <row customHeight="1" ht="11.25">
      <c r="E10" s="713"/>
      <c r="F10" s="2369" t="s">
        <v>107</v>
      </c>
      <c r="G10" s="2370"/>
      <c r="H10" s="1554" t="str">
        <f>IF(H9="","",INDEX(DIFFERENTIATION_UNMERGE_VD,MATCH(H9,DIFFERENTIATION_ID_DIFF,0)))</f>
        <v/>
      </c>
      <c r="I10" s="1554">
        <f>IF(I9="","",INDEX(DIFFERENTIATION_UNMERGE_VD,MATCH(I9,DIFFERENTIATION_ID_DIFF,0)))</f>
        <v>0</v>
      </c>
      <c r="J10" s="2129"/>
      <c r="AF10" s="1633">
        <v>11</v>
      </c>
    </row>
    <row customHeight="1" ht="11.25">
      <c r="E11" s="713"/>
      <c r="F11" s="2369" t="s">
        <v>572</v>
      </c>
      <c r="G11" s="2370"/>
      <c r="H11" s="1554" t="str">
        <f>IF(H9="","",INDEX(DIFFERENTIATION_UNMERGE_AREA,MATCH(H9,DIFFERENTIATION_ID_DIFF,0)))</f>
        <v/>
      </c>
      <c r="I11" s="1554" t="str">
        <f>IF(I9="","",INDEX(DIFFERENTIATION_UNMERGE_AREA,MATCH(I9,DIFFERENTIATION_ID_DIFF,0)))</f>
        <v/>
      </c>
      <c r="J11" s="2129"/>
      <c r="AF11" s="1633">
        <v>11</v>
      </c>
    </row>
    <row customHeight="1" ht="0.75">
      <c r="E12" s="1664"/>
      <c r="F12" s="2392" t="s">
        <v>573</v>
      </c>
      <c r="G12" s="2393"/>
      <c r="H12" s="1665" t="str">
        <f>IF(H9="","",INDEX(DIFFERENTIATION_UNMERGE_SYSTEM,MATCH(H9,DIFFERENTIATION_ID_DIFF,0)))</f>
        <v/>
      </c>
      <c r="I12" s="1665" t="str">
        <f>IF(I9="","",INDEX(DIFFERENTIATION_UNMERGE_SYSTEM,MATCH(I9,DIFFERENTIATION_ID_DIFF,0)))</f>
        <v>без дифференциации</v>
      </c>
      <c r="J12" s="2129"/>
      <c r="AF12" s="1633">
        <v>1</v>
      </c>
    </row>
    <row customHeight="1" ht="11.25">
      <c r="E13" s="2371" t="s">
        <v>309</v>
      </c>
      <c r="F13" s="2372"/>
      <c r="G13" s="2372"/>
      <c r="H13" s="1553"/>
      <c r="I13" s="1553"/>
      <c r="J13" s="2129"/>
      <c r="AF13" s="1633">
        <v>11</v>
      </c>
    </row>
    <row customHeight="1" ht="24">
      <c r="E14" s="1641" t="s">
        <v>90</v>
      </c>
      <c r="F14" s="1636" t="s">
        <v>311</v>
      </c>
      <c r="G14" s="1636" t="s">
        <v>574</v>
      </c>
      <c r="H14" s="1636" t="s">
        <v>312</v>
      </c>
      <c r="I14" s="1636" t="s">
        <v>312</v>
      </c>
      <c r="J14" s="2129"/>
      <c r="AF14" s="1633">
        <v>23</v>
      </c>
    </row>
    <row customHeight="1" ht="20.25">
      <c r="D15" s="1640"/>
      <c r="E15" s="1632" t="s">
        <v>111</v>
      </c>
      <c r="F15" s="709" t="s">
        <v>712</v>
      </c>
      <c r="G15" s="1648" t="s">
        <v>560</v>
      </c>
      <c r="H15" s="559"/>
      <c r="I15" s="559"/>
      <c r="J15" s="291" t="s">
        <v>713</v>
      </c>
      <c r="K15" s="545" t="s">
        <v>638</v>
      </c>
      <c r="AF15" s="1633">
        <v>19</v>
      </c>
    </row>
    <row customHeight="1" ht="36">
      <c r="D16" s="1640"/>
      <c r="E16" s="1632" t="s">
        <v>112</v>
      </c>
      <c r="F16" s="709" t="s">
        <v>714</v>
      </c>
      <c r="G16" s="1648" t="s">
        <v>560</v>
      </c>
      <c r="H16" s="560">
        <f>SUM(H17,H20:H32)</f>
        <v>0</v>
      </c>
      <c r="I16" s="560">
        <f>SUM(I17,I20,I23,I26,I29:I32)</f>
        <v>0</v>
      </c>
      <c r="J16" s="291" t="s">
        <v>715</v>
      </c>
      <c r="K16" s="545" t="s">
        <v>638</v>
      </c>
      <c r="AF16" s="1633">
        <v>34</v>
      </c>
    </row>
    <row customHeight="1" ht="20.25">
      <c r="D17" s="1640"/>
      <c r="E17" s="1666" t="s">
        <v>716</v>
      </c>
      <c r="F17" s="956" t="s">
        <v>717</v>
      </c>
      <c r="G17" s="1645" t="s">
        <v>560</v>
      </c>
      <c r="H17" s="559"/>
      <c r="I17" s="559"/>
      <c r="J17" s="291" t="s">
        <v>718</v>
      </c>
      <c r="K17" s="545"/>
      <c r="AF17" s="1633">
        <v>19</v>
      </c>
    </row>
    <row customHeight="1" ht="24">
      <c r="D18" s="1640"/>
      <c r="E18" s="1666" t="s">
        <v>719</v>
      </c>
      <c r="F18" s="1652" t="s">
        <v>720</v>
      </c>
      <c r="G18" s="1645" t="s">
        <v>560</v>
      </c>
      <c r="H18" s="559"/>
      <c r="I18" s="559"/>
      <c r="J18" s="291" t="s">
        <v>721</v>
      </c>
      <c r="K18" s="545"/>
      <c r="AF18" s="1633">
        <v>23</v>
      </c>
    </row>
    <row customHeight="1" ht="36">
      <c r="D19" s="1640"/>
      <c r="E19" s="1666" t="s">
        <v>722</v>
      </c>
      <c r="F19" s="1652" t="s">
        <v>723</v>
      </c>
      <c r="G19" s="1645" t="s">
        <v>560</v>
      </c>
      <c r="H19" s="559"/>
      <c r="I19" s="559"/>
      <c r="J19" s="291"/>
      <c r="K19" s="545"/>
      <c r="AF19" s="1633">
        <v>34</v>
      </c>
    </row>
    <row customHeight="1" ht="20.25">
      <c r="D20" s="1640"/>
      <c r="E20" s="1666" t="s">
        <v>316</v>
      </c>
      <c r="F20" s="956" t="s">
        <v>724</v>
      </c>
      <c r="G20" s="1645" t="s">
        <v>560</v>
      </c>
      <c r="H20" s="559"/>
      <c r="I20" s="559"/>
      <c r="J20" s="291" t="s">
        <v>725</v>
      </c>
      <c r="K20" s="545"/>
      <c r="AF20" s="1633">
        <v>19</v>
      </c>
    </row>
    <row customHeight="1" ht="20.25">
      <c r="D21" s="1640"/>
      <c r="E21" s="1666" t="s">
        <v>726</v>
      </c>
      <c r="F21" s="1652" t="s">
        <v>727</v>
      </c>
      <c r="G21" s="1645" t="s">
        <v>560</v>
      </c>
      <c r="H21" s="559"/>
      <c r="I21" s="559"/>
      <c r="J21" s="291"/>
      <c r="K21" s="545"/>
      <c r="AF21" s="1633">
        <v>19</v>
      </c>
    </row>
    <row customHeight="1" ht="20.25">
      <c r="D22" s="1640"/>
      <c r="E22" s="1666" t="s">
        <v>728</v>
      </c>
      <c r="F22" s="1652" t="s">
        <v>729</v>
      </c>
      <c r="G22" s="1645" t="s">
        <v>560</v>
      </c>
      <c r="H22" s="559"/>
      <c r="I22" s="559"/>
      <c r="J22" s="291"/>
      <c r="K22" s="545"/>
      <c r="AF22" s="1633">
        <v>19</v>
      </c>
    </row>
    <row customHeight="1" ht="24">
      <c r="D23" s="1640"/>
      <c r="E23" s="1666" t="s">
        <v>319</v>
      </c>
      <c r="F23" s="956" t="s">
        <v>730</v>
      </c>
      <c r="G23" s="1645" t="s">
        <v>560</v>
      </c>
      <c r="H23" s="559"/>
      <c r="I23" s="559"/>
      <c r="J23" s="291" t="s">
        <v>731</v>
      </c>
      <c r="K23" s="545"/>
      <c r="AF23" s="1633">
        <v>23</v>
      </c>
    </row>
    <row customHeight="1" ht="20.25">
      <c r="D24" s="1640"/>
      <c r="E24" s="1666" t="s">
        <v>732</v>
      </c>
      <c r="F24" s="1652" t="s">
        <v>733</v>
      </c>
      <c r="G24" s="1645" t="s">
        <v>560</v>
      </c>
      <c r="H24" s="559"/>
      <c r="I24" s="559"/>
      <c r="J24" s="291"/>
      <c r="K24" s="545"/>
      <c r="AF24" s="1633">
        <v>19</v>
      </c>
    </row>
    <row customHeight="1" ht="36">
      <c r="D25" s="1640"/>
      <c r="E25" s="1666" t="s">
        <v>734</v>
      </c>
      <c r="F25" s="1652" t="s">
        <v>735</v>
      </c>
      <c r="G25" s="1645" t="s">
        <v>560</v>
      </c>
      <c r="H25" s="559"/>
      <c r="I25" s="559"/>
      <c r="J25" s="291"/>
      <c r="K25" s="545"/>
      <c r="AF25" s="1633">
        <v>34</v>
      </c>
    </row>
    <row customHeight="1" ht="24">
      <c r="D26" s="1640"/>
      <c r="E26" s="1666" t="s">
        <v>736</v>
      </c>
      <c r="F26" s="956" t="s">
        <v>737</v>
      </c>
      <c r="G26" s="1645" t="s">
        <v>560</v>
      </c>
      <c r="H26" s="559"/>
      <c r="I26" s="559"/>
      <c r="J26" s="291" t="s">
        <v>738</v>
      </c>
      <c r="K26" s="545"/>
      <c r="AF26" s="1633">
        <v>23</v>
      </c>
    </row>
    <row customHeight="1" ht="20.25">
      <c r="D27" s="1640"/>
      <c r="E27" s="1677" t="s">
        <v>739</v>
      </c>
      <c r="F27" s="1652" t="s">
        <v>740</v>
      </c>
      <c r="G27" s="1656" t="s">
        <v>560</v>
      </c>
      <c r="H27" s="1678"/>
      <c r="I27" s="1678"/>
      <c r="J27" s="291"/>
      <c r="K27" s="545"/>
      <c r="AF27" s="1633">
        <v>19</v>
      </c>
    </row>
    <row customHeight="1" ht="20.25">
      <c r="D28" s="1640"/>
      <c r="E28" s="1677" t="s">
        <v>741</v>
      </c>
      <c r="F28" s="1652" t="s">
        <v>742</v>
      </c>
      <c r="G28" s="1656" t="s">
        <v>560</v>
      </c>
      <c r="H28" s="1678"/>
      <c r="I28" s="1678"/>
      <c r="J28" s="291"/>
      <c r="K28" s="545"/>
      <c r="AF28" s="1633">
        <v>19</v>
      </c>
    </row>
    <row customHeight="1" ht="20.25">
      <c r="D29" s="1640"/>
      <c r="E29" s="1677" t="s">
        <v>743</v>
      </c>
      <c r="F29" s="956" t="s">
        <v>744</v>
      </c>
      <c r="G29" s="1656" t="s">
        <v>560</v>
      </c>
      <c r="H29" s="1678"/>
      <c r="I29" s="1678"/>
      <c r="J29" s="291"/>
      <c r="K29" s="545"/>
      <c r="AF29" s="1633">
        <v>19</v>
      </c>
    </row>
    <row customHeight="1" ht="20.25">
      <c r="D30" s="1640"/>
      <c r="E30" s="1677" t="s">
        <v>745</v>
      </c>
      <c r="F30" s="956" t="s">
        <v>746</v>
      </c>
      <c r="G30" s="1656" t="s">
        <v>560</v>
      </c>
      <c r="H30" s="1678"/>
      <c r="I30" s="1678"/>
      <c r="J30" s="291"/>
      <c r="K30" s="545"/>
      <c r="AF30" s="1633">
        <v>19</v>
      </c>
    </row>
    <row customHeight="1" ht="20.25">
      <c r="D31" s="1640"/>
      <c r="E31" s="1677" t="s">
        <v>747</v>
      </c>
      <c r="F31" s="956" t="s">
        <v>748</v>
      </c>
      <c r="G31" s="1656" t="s">
        <v>560</v>
      </c>
      <c r="H31" s="1678"/>
      <c r="I31" s="1678"/>
      <c r="J31" s="291"/>
      <c r="K31" s="545"/>
      <c r="AF31" s="1633">
        <v>19</v>
      </c>
    </row>
    <row s="1368" customFormat="1" customHeight="1" ht="36">
      <c r="A32" s="989"/>
      <c r="C32" s="1638"/>
      <c r="D32" s="1640"/>
      <c r="E32" s="1677" t="s">
        <v>749</v>
      </c>
      <c r="F32" s="956" t="s">
        <v>750</v>
      </c>
      <c r="G32" s="1646" t="s">
        <v>560</v>
      </c>
      <c r="H32" s="581">
        <f>SUM(H33:H34)</f>
        <v>0</v>
      </c>
      <c r="I32" s="581">
        <f>SUM(I33:I34)</f>
        <v>0</v>
      </c>
      <c r="J32" s="291" t="s">
        <v>751</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585</v>
      </c>
      <c r="G34" s="574"/>
      <c r="H34" s="575"/>
      <c r="I34" s="575"/>
      <c r="J34" s="303" t="s">
        <v>752</v>
      </c>
      <c r="K34" s="545"/>
      <c r="L34" s="1638"/>
      <c r="M34" s="1638"/>
      <c r="R34" s="1638"/>
      <c r="U34" s="546"/>
      <c r="AA34" s="1634"/>
      <c r="AB34" s="1634"/>
      <c r="AC34" s="1634"/>
      <c r="AD34" s="1634"/>
      <c r="AE34" s="1634"/>
      <c r="AF34" s="1162">
        <v>19</v>
      </c>
    </row>
    <row customHeight="1" ht="60">
      <c r="D35" s="1640"/>
      <c r="E35" s="1677" t="s">
        <v>753</v>
      </c>
      <c r="F35" s="956" t="s">
        <v>754</v>
      </c>
      <c r="G35" s="1656" t="s">
        <v>560</v>
      </c>
      <c r="H35" s="1678"/>
      <c r="I35" s="1678"/>
      <c r="J35" s="291" t="s">
        <v>755</v>
      </c>
      <c r="K35" s="545"/>
      <c r="AF35" s="1633">
        <v>57</v>
      </c>
    </row>
    <row s="1368" customFormat="1" customHeight="1" ht="24">
      <c r="A36" s="991" t="s">
        <v>586</v>
      </c>
      <c r="C36" s="1638"/>
      <c r="D36" s="1640"/>
      <c r="E36" s="1666" t="s">
        <v>92</v>
      </c>
      <c r="F36" s="709" t="s">
        <v>756</v>
      </c>
      <c r="G36" s="1645" t="s">
        <v>560</v>
      </c>
      <c r="H36" s="559"/>
      <c r="I36" s="559"/>
      <c r="J36" s="291" t="s">
        <v>757</v>
      </c>
      <c r="K36" s="545"/>
      <c r="L36" s="1638"/>
      <c r="M36" s="1638"/>
      <c r="R36" s="1638"/>
      <c r="U36" s="546"/>
      <c r="AA36" s="1634"/>
      <c r="AB36" s="1634"/>
      <c r="AC36" s="1634"/>
      <c r="AD36" s="1634"/>
      <c r="AE36" s="1634"/>
      <c r="AF36" s="1162">
        <v>23</v>
      </c>
    </row>
    <row s="1368" customFormat="1" customHeight="1" ht="36">
      <c r="A37" s="991"/>
      <c r="C37" s="1638"/>
      <c r="D37" s="1640"/>
      <c r="E37" s="1666" t="s">
        <v>333</v>
      </c>
      <c r="F37" s="956" t="s">
        <v>758</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93</v>
      </c>
      <c r="F38" s="709" t="s">
        <v>759</v>
      </c>
      <c r="G38" s="1645" t="s">
        <v>560</v>
      </c>
      <c r="H38" s="559"/>
      <c r="I38" s="559"/>
      <c r="J38" s="291" t="s">
        <v>760</v>
      </c>
      <c r="K38" s="545"/>
      <c r="L38" s="1638"/>
      <c r="M38" s="1638"/>
      <c r="R38" s="1638"/>
      <c r="U38" s="546"/>
      <c r="AA38" s="1634"/>
      <c r="AB38" s="1634"/>
      <c r="AC38" s="1634"/>
      <c r="AD38" s="1634"/>
      <c r="AE38" s="1634"/>
      <c r="AF38" s="1162">
        <v>19</v>
      </c>
    </row>
    <row s="1368" customFormat="1" customHeight="1" ht="24">
      <c r="A39" s="989"/>
      <c r="C39" s="1638"/>
      <c r="D39" s="577"/>
      <c r="E39" s="1666" t="s">
        <v>761</v>
      </c>
      <c r="F39" s="956" t="s">
        <v>762</v>
      </c>
      <c r="G39" s="1656" t="s">
        <v>560</v>
      </c>
      <c r="H39" s="559"/>
      <c r="I39" s="559"/>
      <c r="J39" s="291" t="s">
        <v>763</v>
      </c>
      <c r="K39" s="545"/>
      <c r="L39" s="1638"/>
      <c r="M39" s="1638"/>
      <c r="R39" s="1638"/>
      <c r="U39" s="546"/>
      <c r="AA39" s="1634"/>
      <c r="AB39" s="1634"/>
      <c r="AC39" s="1634"/>
      <c r="AD39" s="1634"/>
      <c r="AE39" s="1634"/>
      <c r="AF39" s="1162">
        <v>23</v>
      </c>
    </row>
    <row s="1368" customFormat="1" customHeight="1" ht="24">
      <c r="A40" s="989"/>
      <c r="C40" s="1638"/>
      <c r="D40" s="1640"/>
      <c r="E40" s="1666" t="s">
        <v>764</v>
      </c>
      <c r="F40" s="1652" t="s">
        <v>765</v>
      </c>
      <c r="G40" s="1645" t="s">
        <v>560</v>
      </c>
      <c r="H40" s="559"/>
      <c r="I40" s="559"/>
      <c r="J40" s="291" t="s">
        <v>766</v>
      </c>
      <c r="K40" s="545"/>
      <c r="L40" s="1638"/>
      <c r="M40" s="1638"/>
      <c r="R40" s="1638"/>
      <c r="U40" s="546"/>
      <c r="AA40" s="1634"/>
      <c r="AB40" s="1634"/>
      <c r="AC40" s="1634"/>
      <c r="AD40" s="1634"/>
      <c r="AE40" s="1634"/>
      <c r="AF40" s="1162">
        <v>23</v>
      </c>
    </row>
    <row s="1368" customFormat="1" customHeight="1" ht="24">
      <c r="A41" s="989"/>
      <c r="C41" s="1638"/>
      <c r="D41" s="1640"/>
      <c r="E41" s="1666" t="s">
        <v>767</v>
      </c>
      <c r="F41" s="1652" t="s">
        <v>768</v>
      </c>
      <c r="G41" s="1645" t="s">
        <v>560</v>
      </c>
      <c r="H41" s="559"/>
      <c r="I41" s="559"/>
      <c r="J41" s="291" t="s">
        <v>769</v>
      </c>
      <c r="K41" s="545"/>
      <c r="L41" s="1638"/>
      <c r="M41" s="1638"/>
      <c r="R41" s="1638"/>
      <c r="U41" s="546"/>
      <c r="AA41" s="1634"/>
      <c r="AB41" s="1634"/>
      <c r="AC41" s="1634"/>
      <c r="AD41" s="1634"/>
      <c r="AE41" s="1634"/>
      <c r="AF41" s="1162">
        <v>23</v>
      </c>
    </row>
    <row s="1368" customFormat="1" customHeight="1" ht="24">
      <c r="A42" s="989"/>
      <c r="C42" s="1638"/>
      <c r="D42" s="1640"/>
      <c r="E42" s="1666" t="s">
        <v>770</v>
      </c>
      <c r="F42" s="1652" t="s">
        <v>771</v>
      </c>
      <c r="G42" s="1645" t="s">
        <v>560</v>
      </c>
      <c r="H42" s="559"/>
      <c r="I42" s="559"/>
      <c r="J42" s="291" t="s">
        <v>772</v>
      </c>
      <c r="K42" s="545"/>
      <c r="L42" s="1638"/>
      <c r="M42" s="1638"/>
      <c r="R42" s="1638"/>
      <c r="U42" s="546"/>
      <c r="AA42" s="1634"/>
      <c r="AB42" s="1634"/>
      <c r="AC42" s="1634"/>
      <c r="AD42" s="1634"/>
      <c r="AE42" s="1634"/>
      <c r="AF42" s="1162">
        <v>23</v>
      </c>
    </row>
    <row s="1368" customFormat="1" customHeight="1" ht="36">
      <c r="A43" s="989"/>
      <c r="C43" s="1638" t="s">
        <v>596</v>
      </c>
      <c r="D43" s="1640"/>
      <c r="E43" s="1666" t="s">
        <v>113</v>
      </c>
      <c r="F43" s="709" t="s">
        <v>637</v>
      </c>
      <c r="G43" s="1648" t="s">
        <v>773</v>
      </c>
      <c r="H43" s="403"/>
      <c r="I43" s="403"/>
      <c r="J43" s="291" t="s">
        <v>774</v>
      </c>
      <c r="K43" s="545"/>
      <c r="L43" s="1638"/>
      <c r="M43" s="1638"/>
      <c r="R43" s="1638"/>
      <c r="U43" s="546"/>
      <c r="AA43" s="1634"/>
      <c r="AB43" s="1634"/>
      <c r="AC43" s="1634"/>
      <c r="AD43" s="1634"/>
      <c r="AE43" s="1634"/>
      <c r="AF43" s="1162">
        <v>34</v>
      </c>
    </row>
    <row s="1368" customFormat="1" customHeight="1" ht="36">
      <c r="A44" s="989"/>
      <c r="C44" s="1638"/>
      <c r="D44" s="1640"/>
      <c r="E44" s="1666" t="s">
        <v>94</v>
      </c>
      <c r="F44" s="709" t="s">
        <v>775</v>
      </c>
      <c r="G44" s="1645" t="s">
        <v>776</v>
      </c>
      <c r="H44" s="547"/>
      <c r="I44" s="547"/>
      <c r="J44" s="291" t="s">
        <v>777</v>
      </c>
      <c r="K44" s="545"/>
      <c r="L44" s="1638"/>
      <c r="M44" s="1638"/>
      <c r="R44" s="1638"/>
      <c r="U44" s="546"/>
      <c r="AA44" s="1634"/>
      <c r="AB44" s="1634"/>
      <c r="AC44" s="1634"/>
      <c r="AD44" s="1634"/>
      <c r="AE44" s="1634"/>
      <c r="AF44" s="1162">
        <v>34</v>
      </c>
    </row>
    <row s="1368" customFormat="1" customHeight="1" ht="24">
      <c r="A45" s="989"/>
      <c r="C45" s="1638"/>
      <c r="D45" s="1640"/>
      <c r="E45" s="1666" t="s">
        <v>95</v>
      </c>
      <c r="F45" s="709" t="s">
        <v>778</v>
      </c>
      <c r="G45" s="1656" t="s">
        <v>779</v>
      </c>
      <c r="H45" s="547"/>
      <c r="I45" s="547"/>
      <c r="J45" s="291" t="s">
        <v>780</v>
      </c>
      <c r="K45" s="545"/>
      <c r="L45" s="1638"/>
      <c r="M45" s="1638"/>
      <c r="R45" s="1638"/>
      <c r="U45" s="546"/>
      <c r="AA45" s="1634"/>
      <c r="AB45" s="1634"/>
      <c r="AC45" s="1634"/>
      <c r="AD45" s="1634"/>
      <c r="AE45" s="1634"/>
      <c r="AF45" s="1162">
        <v>23</v>
      </c>
    </row>
    <row s="1368" customFormat="1" customHeight="1" ht="20.25">
      <c r="A46" s="989"/>
      <c r="C46" s="1638"/>
      <c r="D46" s="1640"/>
      <c r="E46" s="1666" t="s">
        <v>114</v>
      </c>
      <c r="F46" s="709" t="s">
        <v>781</v>
      </c>
      <c r="G46" s="1645" t="s">
        <v>598</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84</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045FF6-B927-C157-FC7D-0.B2EB86AC}"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560</v>
      </c>
      <c r="H2" s="543"/>
      <c r="I2" s="543"/>
      <c r="J2" s="544" t="s">
        <v>563</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782</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119</v>
      </c>
      <c r="AF9" s="1638">
        <v>1</v>
      </c>
    </row>
    <row customHeight="1" ht="11.25">
      <c r="E10" s="713"/>
      <c r="F10" s="2369" t="s">
        <v>107</v>
      </c>
      <c r="G10" s="2370"/>
      <c r="H10" s="1661" t="str">
        <f>IF(H9="","",INDEX(DIFFERENTIATION_UNMERGE_VD,MATCH(H9,DIFFERENTIATION_ID_DIFF,0)))</f>
        <v/>
      </c>
      <c r="I10" s="1661">
        <f>IF(I9="","",INDEX(DIFFERENTIATION_UNMERGE_VD,MATCH(I9,DIFFERENTIATION_ID_DIFF,0)))</f>
        <v>0</v>
      </c>
      <c r="J10" s="2129"/>
      <c r="AF10" s="1633">
        <v>11</v>
      </c>
    </row>
    <row customHeight="1" ht="11.25">
      <c r="E11" s="713"/>
      <c r="F11" s="2369" t="s">
        <v>572</v>
      </c>
      <c r="G11" s="2370"/>
      <c r="H11" s="1661" t="str">
        <f>IF(H9="","",INDEX(DIFFERENTIATION_UNMERGE_AREA,MATCH(H9,DIFFERENTIATION_ID_DIFF,0)))</f>
        <v/>
      </c>
      <c r="I11" s="1661" t="str">
        <f>IF(I9="","",INDEX(DIFFERENTIATION_UNMERGE_AREA,MATCH(I9,DIFFERENTIATION_ID_DIFF,0)))</f>
        <v/>
      </c>
      <c r="J11" s="2129"/>
      <c r="AF11" s="1633">
        <v>11</v>
      </c>
    </row>
    <row customHeight="1" ht="11.25" hidden="1">
      <c r="E12" s="1664"/>
      <c r="F12" s="2392" t="s">
        <v>573</v>
      </c>
      <c r="G12" s="2393"/>
      <c r="H12" s="1665" t="str">
        <f>IF(H9="","",INDEX(DIFFERENTIATION_UNMERGE_SYSTEM,MATCH(H9,DIFFERENTIATION_ID_DIFF,0)))</f>
        <v/>
      </c>
      <c r="I12" s="1665" t="str">
        <f>IF(I9="","",INDEX(DIFFERENTIATION_UNMERGE_SYSTEM,MATCH(I9,DIFFERENTIATION_ID_DIFF,0)))</f>
        <v>без дифференциации</v>
      </c>
      <c r="J12" s="2129"/>
      <c r="AF12" s="1633">
        <v>0</v>
      </c>
    </row>
    <row customHeight="1" ht="11.25">
      <c r="E13" s="2371" t="s">
        <v>309</v>
      </c>
      <c r="F13" s="2372"/>
      <c r="G13" s="2372"/>
      <c r="H13" s="1658"/>
      <c r="I13" s="1658"/>
      <c r="J13" s="2129"/>
      <c r="AF13" s="1633">
        <v>11</v>
      </c>
    </row>
    <row customHeight="1" ht="24">
      <c r="E14" s="1659" t="s">
        <v>90</v>
      </c>
      <c r="F14" s="1662" t="s">
        <v>311</v>
      </c>
      <c r="G14" s="1662" t="s">
        <v>574</v>
      </c>
      <c r="H14" s="1662" t="s">
        <v>312</v>
      </c>
      <c r="I14" s="1662" t="s">
        <v>312</v>
      </c>
      <c r="J14" s="2129"/>
      <c r="AF14" s="1633">
        <v>23</v>
      </c>
    </row>
    <row customHeight="1" ht="20.25">
      <c r="D15" s="1640"/>
      <c r="E15" s="1632" t="s">
        <v>111</v>
      </c>
      <c r="F15" s="709" t="s">
        <v>783</v>
      </c>
      <c r="G15" s="1659" t="s">
        <v>560</v>
      </c>
      <c r="H15" s="559"/>
      <c r="I15" s="559"/>
      <c r="J15" s="291" t="s">
        <v>784</v>
      </c>
      <c r="K15" s="545" t="s">
        <v>638</v>
      </c>
      <c r="AF15" s="1633">
        <v>19</v>
      </c>
    </row>
    <row customHeight="1" ht="24">
      <c r="D16" s="1640"/>
      <c r="E16" s="1632" t="s">
        <v>112</v>
      </c>
      <c r="F16" s="1667" t="s">
        <v>785</v>
      </c>
      <c r="G16" s="1659" t="s">
        <v>560</v>
      </c>
      <c r="H16" s="560">
        <f>SUM(H17,H20:H27)</f>
        <v>0</v>
      </c>
      <c r="I16" s="560">
        <f>SUM(I17,I20:I27)</f>
        <v>0</v>
      </c>
      <c r="J16" s="291" t="s">
        <v>786</v>
      </c>
      <c r="K16" s="545" t="s">
        <v>638</v>
      </c>
      <c r="AF16" s="1633">
        <v>23</v>
      </c>
    </row>
    <row customHeight="1" ht="36">
      <c r="D17" s="1640"/>
      <c r="E17" s="1666" t="s">
        <v>716</v>
      </c>
      <c r="F17" s="1669" t="s">
        <v>787</v>
      </c>
      <c r="G17" s="1656" t="s">
        <v>560</v>
      </c>
      <c r="H17" s="559"/>
      <c r="I17" s="559"/>
      <c r="J17" s="291" t="s">
        <v>788</v>
      </c>
      <c r="K17" s="545"/>
      <c r="AF17" s="1633">
        <v>34</v>
      </c>
    </row>
    <row customHeight="1" ht="20.25">
      <c r="D18" s="1640"/>
      <c r="E18" s="1666" t="s">
        <v>719</v>
      </c>
      <c r="F18" s="1670" t="s">
        <v>789</v>
      </c>
      <c r="G18" s="1656" t="s">
        <v>560</v>
      </c>
      <c r="H18" s="559"/>
      <c r="I18" s="559"/>
      <c r="J18" s="291"/>
      <c r="K18" s="545"/>
      <c r="AF18" s="1633">
        <v>19</v>
      </c>
    </row>
    <row customHeight="1" ht="24">
      <c r="D19" s="1640"/>
      <c r="E19" s="1666" t="s">
        <v>722</v>
      </c>
      <c r="F19" s="1670" t="s">
        <v>790</v>
      </c>
      <c r="G19" s="1656" t="s">
        <v>560</v>
      </c>
      <c r="H19" s="559"/>
      <c r="I19" s="559"/>
      <c r="J19" s="291"/>
      <c r="K19" s="545"/>
      <c r="AF19" s="1633">
        <v>23</v>
      </c>
    </row>
    <row customHeight="1" ht="36">
      <c r="D20" s="1640"/>
      <c r="E20" s="1666" t="s">
        <v>316</v>
      </c>
      <c r="F20" s="1669" t="s">
        <v>791</v>
      </c>
      <c r="G20" s="1656" t="s">
        <v>560</v>
      </c>
      <c r="H20" s="559"/>
      <c r="I20" s="559"/>
      <c r="J20" s="291"/>
      <c r="K20" s="545"/>
      <c r="AF20" s="1633">
        <v>34</v>
      </c>
    </row>
    <row customHeight="1" ht="48">
      <c r="D21" s="1640"/>
      <c r="E21" s="1666" t="s">
        <v>319</v>
      </c>
      <c r="F21" s="1669" t="s">
        <v>792</v>
      </c>
      <c r="G21" s="1656" t="s">
        <v>560</v>
      </c>
      <c r="H21" s="559"/>
      <c r="I21" s="559"/>
      <c r="J21" s="291"/>
      <c r="K21" s="545"/>
      <c r="AF21" s="1633">
        <v>46</v>
      </c>
    </row>
    <row customHeight="1" ht="60">
      <c r="D22" s="1640"/>
      <c r="E22" s="1666" t="s">
        <v>736</v>
      </c>
      <c r="F22" s="1669" t="s">
        <v>793</v>
      </c>
      <c r="G22" s="1656" t="s">
        <v>560</v>
      </c>
      <c r="H22" s="559"/>
      <c r="I22" s="559"/>
      <c r="J22" s="291"/>
      <c r="K22" s="545"/>
      <c r="AF22" s="1633">
        <v>57</v>
      </c>
    </row>
    <row customHeight="1" ht="36">
      <c r="D23" s="1640"/>
      <c r="E23" s="1666" t="s">
        <v>743</v>
      </c>
      <c r="F23" s="1669" t="s">
        <v>794</v>
      </c>
      <c r="G23" s="1656" t="s">
        <v>560</v>
      </c>
      <c r="H23" s="559"/>
      <c r="I23" s="559"/>
      <c r="J23" s="291"/>
      <c r="K23" s="545"/>
      <c r="AF23" s="1633">
        <v>34</v>
      </c>
    </row>
    <row customHeight="1" ht="36">
      <c r="D24" s="1640"/>
      <c r="E24" s="1666" t="s">
        <v>745</v>
      </c>
      <c r="F24" s="1669" t="s">
        <v>795</v>
      </c>
      <c r="G24" s="1656" t="s">
        <v>560</v>
      </c>
      <c r="H24" s="559"/>
      <c r="I24" s="559"/>
      <c r="J24" s="291"/>
      <c r="K24" s="545"/>
      <c r="AF24" s="1633">
        <v>34</v>
      </c>
    </row>
    <row customHeight="1" ht="24">
      <c r="D25" s="1640"/>
      <c r="E25" s="1666" t="s">
        <v>747</v>
      </c>
      <c r="F25" s="1669" t="s">
        <v>796</v>
      </c>
      <c r="G25" s="1656" t="s">
        <v>560</v>
      </c>
      <c r="H25" s="559"/>
      <c r="I25" s="559"/>
      <c r="J25" s="291"/>
      <c r="K25" s="545"/>
      <c r="AF25" s="1633">
        <v>23</v>
      </c>
    </row>
    <row customHeight="1" ht="76.5">
      <c r="D26" s="1640"/>
      <c r="E26" s="1666" t="s">
        <v>749</v>
      </c>
      <c r="F26" s="1669" t="s">
        <v>797</v>
      </c>
      <c r="G26" s="1656" t="s">
        <v>560</v>
      </c>
      <c r="H26" s="559"/>
      <c r="I26" s="559"/>
      <c r="J26" s="291"/>
      <c r="K26" s="545"/>
      <c r="AF26" s="1633">
        <v>73</v>
      </c>
    </row>
    <row s="1368" customFormat="1" customHeight="1" ht="36">
      <c r="A27" s="989"/>
      <c r="C27" s="1638"/>
      <c r="D27" s="1640"/>
      <c r="E27" s="1631" t="s">
        <v>753</v>
      </c>
      <c r="F27" s="1630" t="s">
        <v>798</v>
      </c>
      <c r="G27" s="1657" t="s">
        <v>560</v>
      </c>
      <c r="H27" s="581">
        <f>SUM(H28:H29)</f>
        <v>0</v>
      </c>
      <c r="I27" s="581">
        <f>SUM(I28:I29)</f>
        <v>0</v>
      </c>
      <c r="J27" s="291" t="s">
        <v>751</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585</v>
      </c>
      <c r="G29" s="574"/>
      <c r="H29" s="575"/>
      <c r="I29" s="575"/>
      <c r="J29" s="303" t="s">
        <v>752</v>
      </c>
      <c r="K29" s="545"/>
      <c r="L29" s="1638"/>
      <c r="M29" s="1638"/>
      <c r="R29" s="1638"/>
      <c r="U29" s="546"/>
      <c r="AA29" s="1634"/>
      <c r="AB29" s="1634"/>
      <c r="AC29" s="1634"/>
      <c r="AD29" s="1634"/>
      <c r="AE29" s="1634"/>
      <c r="AF29" s="1162">
        <v>19</v>
      </c>
    </row>
    <row s="1368" customFormat="1" customHeight="1" ht="24">
      <c r="A30" s="989"/>
      <c r="C30" s="1638"/>
      <c r="D30" s="1640"/>
      <c r="E30" s="1666" t="s">
        <v>92</v>
      </c>
      <c r="F30" s="1663" t="s">
        <v>799</v>
      </c>
      <c r="G30" s="1656" t="s">
        <v>560</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93</v>
      </c>
      <c r="F31" s="1663" t="s">
        <v>800</v>
      </c>
      <c r="G31" s="1656" t="s">
        <v>560</v>
      </c>
      <c r="H31" s="559"/>
      <c r="I31" s="559"/>
      <c r="J31" s="291" t="s">
        <v>801</v>
      </c>
      <c r="K31" s="545"/>
      <c r="L31" s="1638"/>
      <c r="M31" s="1638"/>
      <c r="R31" s="1638"/>
      <c r="U31" s="546"/>
      <c r="AA31" s="1634"/>
      <c r="AB31" s="1634"/>
      <c r="AC31" s="1634"/>
      <c r="AD31" s="1634"/>
      <c r="AE31" s="1634"/>
      <c r="AF31" s="1162">
        <v>34</v>
      </c>
    </row>
    <row s="1368" customFormat="1" customHeight="1" ht="24">
      <c r="A32" s="989"/>
      <c r="C32" s="1638"/>
      <c r="D32" s="1640"/>
      <c r="E32" s="1666" t="s">
        <v>761</v>
      </c>
      <c r="F32" s="692" t="s">
        <v>765</v>
      </c>
      <c r="G32" s="1656" t="s">
        <v>560</v>
      </c>
      <c r="H32" s="559"/>
      <c r="I32" s="559"/>
      <c r="J32" s="291" t="s">
        <v>802</v>
      </c>
      <c r="K32" s="545"/>
      <c r="L32" s="1638"/>
      <c r="M32" s="1638"/>
      <c r="R32" s="1638"/>
      <c r="U32" s="546"/>
      <c r="AA32" s="1634"/>
      <c r="AB32" s="1634"/>
      <c r="AC32" s="1634"/>
      <c r="AD32" s="1634"/>
      <c r="AE32" s="1634"/>
      <c r="AF32" s="1162">
        <v>23</v>
      </c>
    </row>
    <row s="1368" customFormat="1" customHeight="1" ht="24">
      <c r="A33" s="989"/>
      <c r="C33" s="1638"/>
      <c r="D33" s="1640"/>
      <c r="E33" s="1666" t="s">
        <v>803</v>
      </c>
      <c r="F33" s="692" t="s">
        <v>804</v>
      </c>
      <c r="G33" s="1656" t="s">
        <v>560</v>
      </c>
      <c r="H33" s="559"/>
      <c r="I33" s="559"/>
      <c r="J33" s="291" t="s">
        <v>805</v>
      </c>
      <c r="K33" s="545"/>
      <c r="L33" s="1638"/>
      <c r="M33" s="1638"/>
      <c r="R33" s="1638"/>
      <c r="U33" s="546"/>
      <c r="AA33" s="1634"/>
      <c r="AB33" s="1634"/>
      <c r="AC33" s="1634"/>
      <c r="AD33" s="1634"/>
      <c r="AE33" s="1634"/>
      <c r="AF33" s="1162">
        <v>23</v>
      </c>
    </row>
    <row s="1368" customFormat="1" customHeight="1" ht="24">
      <c r="A34" s="989"/>
      <c r="C34" s="1638"/>
      <c r="D34" s="1640"/>
      <c r="E34" s="1666" t="s">
        <v>806</v>
      </c>
      <c r="F34" s="692" t="s">
        <v>771</v>
      </c>
      <c r="G34" s="1656" t="s">
        <v>560</v>
      </c>
      <c r="H34" s="559"/>
      <c r="I34" s="559"/>
      <c r="J34" s="291" t="s">
        <v>807</v>
      </c>
      <c r="K34" s="545"/>
      <c r="L34" s="1638"/>
      <c r="M34" s="1638"/>
      <c r="R34" s="1638"/>
      <c r="U34" s="546"/>
      <c r="AA34" s="1634"/>
      <c r="AB34" s="1634"/>
      <c r="AC34" s="1634"/>
      <c r="AD34" s="1634"/>
      <c r="AE34" s="1634"/>
      <c r="AF34" s="1162">
        <v>23</v>
      </c>
    </row>
    <row s="1368" customFormat="1" customHeight="1" ht="36">
      <c r="A35" s="989"/>
      <c r="C35" s="1638" t="s">
        <v>596</v>
      </c>
      <c r="D35" s="1640"/>
      <c r="E35" s="1666" t="s">
        <v>113</v>
      </c>
      <c r="F35" s="1663" t="s">
        <v>637</v>
      </c>
      <c r="G35" s="1659" t="s">
        <v>315</v>
      </c>
      <c r="H35" s="403"/>
      <c r="I35" s="403"/>
      <c r="J35" s="291" t="s">
        <v>808</v>
      </c>
      <c r="K35" s="545"/>
      <c r="L35" s="1638"/>
      <c r="M35" s="1638"/>
      <c r="R35" s="1638"/>
      <c r="U35" s="546"/>
      <c r="AA35" s="1634"/>
      <c r="AB35" s="1634"/>
      <c r="AC35" s="1634"/>
      <c r="AD35" s="1634"/>
      <c r="AE35" s="1634"/>
      <c r="AF35" s="1162">
        <v>34</v>
      </c>
    </row>
    <row s="1368" customFormat="1" customHeight="1" ht="36">
      <c r="A36" s="989"/>
      <c r="C36" s="1638"/>
      <c r="D36" s="1640"/>
      <c r="E36" s="1666" t="s">
        <v>94</v>
      </c>
      <c r="F36" s="1663" t="s">
        <v>809</v>
      </c>
      <c r="G36" s="1656" t="s">
        <v>776</v>
      </c>
      <c r="H36" s="547"/>
      <c r="I36" s="547"/>
      <c r="J36" s="291" t="s">
        <v>777</v>
      </c>
      <c r="K36" s="545"/>
      <c r="L36" s="1638"/>
      <c r="M36" s="1638"/>
      <c r="R36" s="1638"/>
      <c r="U36" s="546"/>
      <c r="AA36" s="1634"/>
      <c r="AB36" s="1634"/>
      <c r="AC36" s="1634"/>
      <c r="AD36" s="1634"/>
      <c r="AE36" s="1634"/>
      <c r="AF36" s="1162">
        <v>34</v>
      </c>
    </row>
    <row s="1368" customFormat="1" customHeight="1" ht="24">
      <c r="A37" s="989"/>
      <c r="C37" s="1638"/>
      <c r="D37" s="1640"/>
      <c r="E37" s="1666" t="s">
        <v>95</v>
      </c>
      <c r="F37" s="1663" t="s">
        <v>810</v>
      </c>
      <c r="G37" s="1656" t="s">
        <v>779</v>
      </c>
      <c r="H37" s="547"/>
      <c r="I37" s="547"/>
      <c r="J37" s="291" t="s">
        <v>780</v>
      </c>
      <c r="K37" s="545"/>
      <c r="L37" s="1638"/>
      <c r="M37" s="1638"/>
      <c r="R37" s="1638"/>
      <c r="U37" s="546"/>
      <c r="AA37" s="1634"/>
      <c r="AB37" s="1634"/>
      <c r="AC37" s="1634"/>
      <c r="AD37" s="1634"/>
      <c r="AE37" s="1634"/>
      <c r="AF37" s="1162">
        <v>23</v>
      </c>
    </row>
    <row customHeight="1" ht="11.25">
      <c r="D38" s="1640"/>
      <c r="AF38" s="1633">
        <v>11</v>
      </c>
    </row>
    <row customHeight="1" ht="27">
      <c r="D39" s="1640"/>
      <c r="E39" s="1255" t="s">
        <v>811</v>
      </c>
      <c r="F39" s="2287" t="s">
        <v>812</v>
      </c>
      <c r="G39" s="2287"/>
      <c r="H39" s="371"/>
      <c r="I39" s="371"/>
      <c r="J39" s="371"/>
      <c r="AF39" s="1633">
        <v>26</v>
      </c>
    </row>
    <row s="1643" customFormat="1" customHeight="1" ht="39.75">
      <c r="A40" s="989"/>
      <c r="B40" s="1638"/>
      <c r="C40" s="1638"/>
      <c r="D40" s="353"/>
      <c r="F40" s="2287" t="s">
        <v>813</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84</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4D79F9-4822-F7CE-5D8E-0.D8DDDBFB}"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119</v>
      </c>
      <c r="J6" s="1024"/>
      <c r="X6" s="507">
        <v>1</v>
      </c>
    </row>
    <row customHeight="1" ht="11.25">
      <c r="D7" s="713"/>
      <c r="E7" s="2369" t="s">
        <v>107</v>
      </c>
      <c r="F7" s="2370"/>
      <c r="G7" s="2395" t="str">
        <f>IF(G6="","",INDEX(DIFFERENTIATION_UNMERGE_VD,MATCH(G6,DIFFERENTIATION_ID_DIFF,0)))</f>
        <v/>
      </c>
      <c r="H7" s="2396"/>
      <c r="I7" s="2395">
        <f>IF(I6="","",INDEX(DIFFERENTIATION_UNMERGE_VD,MATCH(I6,DIFFERENTIATION_ID_DIFF,0)))</f>
        <v>0</v>
      </c>
      <c r="J7" s="2396"/>
      <c r="K7" s="2177"/>
      <c r="L7" s="511"/>
      <c r="X7" s="507">
        <v>11</v>
      </c>
    </row>
    <row customHeight="1" ht="11.25">
      <c r="A8" s="706"/>
      <c r="D8" s="713"/>
      <c r="E8" s="2369" t="s">
        <v>572</v>
      </c>
      <c r="F8" s="2370"/>
      <c r="G8" s="2395" t="str">
        <f>IF(G6="","",INDEX(DIFFERENTIATION_UNMERGE_AREA,MATCH(G6,DIFFERENTIATION_ID_DIFF,0)))</f>
        <v/>
      </c>
      <c r="H8" s="2396"/>
      <c r="I8" s="2395" t="str">
        <f>IF(I6="","",INDEX(DIFFERENTIATION_UNMERGE_AREA,MATCH(I6,DIFFERENTIATION_ID_DIFF,0)))</f>
        <v/>
      </c>
      <c r="J8" s="2396"/>
      <c r="K8" s="2201"/>
      <c r="L8" s="511"/>
      <c r="X8" s="507">
        <v>11</v>
      </c>
    </row>
    <row customHeight="1" ht="11.25">
      <c r="A9" s="706"/>
      <c r="D9" s="713"/>
      <c r="E9" s="2369" t="s">
        <v>573</v>
      </c>
      <c r="F9" s="2370"/>
      <c r="G9" s="2395" t="str">
        <f>IF(G6="","",INDEX(DIFFERENTIATION_UNMERGE_SYSTEM,MATCH(G6,DIFFERENTIATION_ID_DIFF,0)))</f>
        <v/>
      </c>
      <c r="H9" s="2396"/>
      <c r="I9" s="2395" t="str">
        <f>IF(I6="","",INDEX(DIFFERENTIATION_UNMERGE_SYSTEM,MATCH(I6,DIFFERENTIATION_ID_DIFF,0)))</f>
        <v>без дифференциации</v>
      </c>
      <c r="J9" s="2396"/>
      <c r="K9" s="2201"/>
      <c r="L9" s="511"/>
      <c r="X9" s="507">
        <v>11</v>
      </c>
    </row>
    <row s="1637" customFormat="1" customHeight="1" ht="11.25">
      <c r="A10" s="1023"/>
      <c r="B10" s="513"/>
      <c r="D10" s="2103" t="s">
        <v>309</v>
      </c>
      <c r="E10" s="2104"/>
      <c r="F10" s="2104"/>
      <c r="G10" s="2104"/>
      <c r="H10" s="2104"/>
      <c r="I10" s="2104"/>
      <c r="J10" s="2105"/>
      <c r="K10" s="2201"/>
      <c r="L10" s="511"/>
      <c r="X10" s="760">
        <v>11</v>
      </c>
    </row>
    <row s="1637" customFormat="1" customHeight="1" ht="24">
      <c r="A11" s="2387"/>
      <c r="B11" s="2387"/>
      <c r="C11" s="659"/>
      <c r="D11" s="705" t="s">
        <v>90</v>
      </c>
      <c r="E11" s="707" t="s">
        <v>814</v>
      </c>
      <c r="F11" s="707" t="s">
        <v>574</v>
      </c>
      <c r="G11" s="467" t="s">
        <v>312</v>
      </c>
      <c r="H11" s="467" t="s">
        <v>399</v>
      </c>
      <c r="I11" s="809" t="s">
        <v>312</v>
      </c>
      <c r="J11" s="810" t="s">
        <v>399</v>
      </c>
      <c r="K11" s="2234"/>
      <c r="L11" s="660"/>
      <c r="X11" s="511">
        <v>23</v>
      </c>
    </row>
    <row s="1644" customFormat="1" customHeight="1" ht="10.5">
      <c r="A12" s="954"/>
      <c r="D12" s="1027" t="s">
        <v>111</v>
      </c>
      <c r="E12" s="1027" t="s">
        <v>112</v>
      </c>
      <c r="F12" s="1027" t="s">
        <v>92</v>
      </c>
      <c r="G12" s="1028" t="str">
        <f>G1&amp;".1"</f>
        <v>4.1</v>
      </c>
      <c r="H12" s="1028" t="str">
        <f>G1&amp;".2"</f>
        <v>4.2</v>
      </c>
      <c r="I12" s="1028" t="str">
        <f>I1&amp;".1"</f>
        <v>4.1</v>
      </c>
      <c r="J12" s="1028" t="str">
        <f>I1&amp;".2"</f>
        <v>4.2</v>
      </c>
      <c r="K12" s="1028"/>
      <c r="X12" s="513">
        <v>10</v>
      </c>
    </row>
    <row customHeight="1" ht="22.5">
      <c r="A13" s="2394" t="s">
        <v>815</v>
      </c>
      <c r="D13" s="955" t="s">
        <v>111</v>
      </c>
      <c r="E13" s="281" t="s">
        <v>816</v>
      </c>
      <c r="F13" s="662" t="s">
        <v>817</v>
      </c>
      <c r="G13" s="559"/>
      <c r="H13" s="663"/>
      <c r="I13" s="559"/>
      <c r="J13" s="663"/>
      <c r="K13" s="291" t="s">
        <v>818</v>
      </c>
      <c r="L13" s="722"/>
      <c r="X13" s="507">
        <v>0</v>
      </c>
    </row>
    <row customHeight="1" ht="22.5">
      <c r="A14" s="2394"/>
      <c r="D14" s="541" t="s">
        <v>112</v>
      </c>
      <c r="E14" s="281" t="s">
        <v>819</v>
      </c>
      <c r="F14" s="662" t="s">
        <v>820</v>
      </c>
      <c r="G14" s="559"/>
      <c r="H14" s="664"/>
      <c r="I14" s="559"/>
      <c r="J14" s="664"/>
      <c r="K14" s="291" t="s">
        <v>821</v>
      </c>
      <c r="L14" s="722"/>
      <c r="X14" s="507">
        <v>0</v>
      </c>
    </row>
    <row s="1637" customFormat="1" customHeight="1" ht="78.75">
      <c r="A15" s="2394"/>
      <c r="B15" s="513"/>
      <c r="D15" s="955" t="s">
        <v>92</v>
      </c>
      <c r="E15" s="709" t="s">
        <v>822</v>
      </c>
      <c r="F15" s="952" t="s">
        <v>315</v>
      </c>
      <c r="G15" s="952" t="s">
        <v>315</v>
      </c>
      <c r="H15" s="108"/>
      <c r="I15" s="952" t="s">
        <v>315</v>
      </c>
      <c r="J15" s="108"/>
      <c r="K15" s="291" t="s">
        <v>823</v>
      </c>
      <c r="L15" s="722"/>
      <c r="X15" s="760">
        <v>0</v>
      </c>
    </row>
    <row s="1637" customFormat="1" customHeight="1" ht="22.5">
      <c r="A16" s="2394"/>
      <c r="B16" s="513"/>
      <c r="D16" s="955" t="s">
        <v>333</v>
      </c>
      <c r="E16" s="956" t="s">
        <v>824</v>
      </c>
      <c r="F16" s="952" t="s">
        <v>825</v>
      </c>
      <c r="G16" s="819"/>
      <c r="H16" s="108"/>
      <c r="I16" s="819"/>
      <c r="J16" s="108"/>
      <c r="K16" s="291"/>
      <c r="L16" s="722"/>
      <c r="X16" s="760">
        <v>0</v>
      </c>
    </row>
    <row s="1637" customFormat="1" customHeight="1" ht="22.5">
      <c r="A17" s="2394"/>
      <c r="B17" s="513"/>
      <c r="D17" s="955" t="s">
        <v>341</v>
      </c>
      <c r="E17" s="956" t="s">
        <v>826</v>
      </c>
      <c r="F17" s="952" t="s">
        <v>827</v>
      </c>
      <c r="G17" s="819"/>
      <c r="H17" s="108"/>
      <c r="I17" s="819"/>
      <c r="J17" s="108"/>
      <c r="K17" s="291"/>
      <c r="L17" s="722"/>
      <c r="X17" s="760">
        <v>0</v>
      </c>
    </row>
    <row s="1637" customFormat="1" customHeight="1" ht="33.75">
      <c r="A18" s="2394"/>
      <c r="B18" s="513"/>
      <c r="D18" s="955" t="s">
        <v>343</v>
      </c>
      <c r="E18" s="956" t="s">
        <v>828</v>
      </c>
      <c r="F18" s="952" t="s">
        <v>579</v>
      </c>
      <c r="G18" s="682"/>
      <c r="H18" s="108"/>
      <c r="I18" s="682"/>
      <c r="J18" s="108"/>
      <c r="K18" s="291"/>
      <c r="L18" s="722"/>
      <c r="X18" s="760">
        <v>0</v>
      </c>
    </row>
    <row customHeight="1" ht="101.25">
      <c r="A19" s="2394"/>
      <c r="D19" s="955" t="s">
        <v>93</v>
      </c>
      <c r="E19" s="281" t="s">
        <v>829</v>
      </c>
      <c r="F19" s="662" t="s">
        <v>554</v>
      </c>
      <c r="G19" s="665"/>
      <c r="H19" s="664"/>
      <c r="I19" s="957"/>
      <c r="J19" s="664"/>
      <c r="K19" s="291" t="s">
        <v>830</v>
      </c>
      <c r="L19" s="722"/>
      <c r="X19" s="507">
        <v>0</v>
      </c>
    </row>
    <row s="1637" customFormat="1" customHeight="1" ht="18.75">
      <c r="A20" s="2394"/>
      <c r="C20" s="958"/>
      <c r="D20" s="955" t="s">
        <v>761</v>
      </c>
      <c r="E20" s="956" t="s">
        <v>831</v>
      </c>
      <c r="F20" s="952" t="s">
        <v>315</v>
      </c>
      <c r="G20" s="952" t="s">
        <v>315</v>
      </c>
      <c r="H20" s="951" t="s">
        <v>315</v>
      </c>
      <c r="I20" s="952" t="s">
        <v>315</v>
      </c>
      <c r="J20" s="951" t="s">
        <v>315</v>
      </c>
      <c r="K20" s="950"/>
      <c r="L20" s="722"/>
      <c r="W20" s="677"/>
      <c r="X20" s="760">
        <v>0</v>
      </c>
    </row>
    <row s="1637" customFormat="1" customHeight="1" ht="33.75">
      <c r="A21" s="2394"/>
      <c r="C21" s="958"/>
      <c r="D21" s="955" t="s">
        <v>764</v>
      </c>
      <c r="E21" s="578" t="s">
        <v>832</v>
      </c>
      <c r="F21" s="952" t="s">
        <v>833</v>
      </c>
      <c r="G21" s="682"/>
      <c r="H21" s="108"/>
      <c r="I21" s="682"/>
      <c r="J21" s="108"/>
      <c r="K21" s="950"/>
      <c r="L21" s="722"/>
      <c r="W21" s="677"/>
      <c r="X21" s="760">
        <v>0</v>
      </c>
    </row>
    <row s="1637" customFormat="1" customHeight="1" ht="33.75">
      <c r="A22" s="2394"/>
      <c r="C22" s="958"/>
      <c r="D22" s="955" t="s">
        <v>767</v>
      </c>
      <c r="E22" s="578" t="s">
        <v>834</v>
      </c>
      <c r="F22" s="952" t="s">
        <v>835</v>
      </c>
      <c r="G22" s="682"/>
      <c r="H22" s="108"/>
      <c r="I22" s="682"/>
      <c r="J22" s="108"/>
      <c r="K22" s="950"/>
      <c r="L22" s="722"/>
      <c r="W22" s="677"/>
      <c r="X22" s="760">
        <v>0</v>
      </c>
    </row>
    <row s="1637" customFormat="1" customHeight="1" ht="22.5">
      <c r="A23" s="2394"/>
      <c r="C23" s="958"/>
      <c r="D23" s="955" t="s">
        <v>803</v>
      </c>
      <c r="E23" s="956" t="s">
        <v>836</v>
      </c>
      <c r="F23" s="952" t="s">
        <v>315</v>
      </c>
      <c r="G23" s="952" t="s">
        <v>315</v>
      </c>
      <c r="H23" s="951" t="s">
        <v>315</v>
      </c>
      <c r="I23" s="952" t="s">
        <v>315</v>
      </c>
      <c r="J23" s="951" t="s">
        <v>315</v>
      </c>
      <c r="K23" s="950"/>
      <c r="L23" s="722"/>
      <c r="W23" s="677"/>
      <c r="X23" s="760">
        <v>0</v>
      </c>
    </row>
    <row s="1637" customFormat="1" customHeight="1" ht="22.5">
      <c r="A24" s="2394"/>
      <c r="C24" s="958"/>
      <c r="D24" s="955" t="s">
        <v>837</v>
      </c>
      <c r="E24" s="578" t="s">
        <v>838</v>
      </c>
      <c r="F24" s="952" t="s">
        <v>839</v>
      </c>
      <c r="G24" s="682"/>
      <c r="H24" s="688"/>
      <c r="I24" s="682"/>
      <c r="J24" s="688"/>
      <c r="K24" s="950"/>
      <c r="L24" s="722"/>
      <c r="W24" s="677"/>
      <c r="X24" s="760">
        <v>0</v>
      </c>
    </row>
    <row s="1637" customFormat="1" customHeight="1" ht="22.5">
      <c r="A25" s="2394"/>
      <c r="C25" s="958"/>
      <c r="D25" s="955" t="s">
        <v>840</v>
      </c>
      <c r="E25" s="578" t="s">
        <v>841</v>
      </c>
      <c r="F25" s="952" t="s">
        <v>315</v>
      </c>
      <c r="G25" s="952" t="s">
        <v>315</v>
      </c>
      <c r="H25" s="951" t="s">
        <v>315</v>
      </c>
      <c r="I25" s="952" t="s">
        <v>315</v>
      </c>
      <c r="J25" s="951" t="s">
        <v>315</v>
      </c>
      <c r="K25" s="950"/>
      <c r="L25" s="722"/>
      <c r="W25" s="677"/>
      <c r="X25" s="760">
        <v>0</v>
      </c>
    </row>
    <row s="1637" customFormat="1" customHeight="1" ht="18.75">
      <c r="A26" s="2394"/>
      <c r="C26" s="958"/>
      <c r="D26" s="955" t="s">
        <v>842</v>
      </c>
      <c r="E26" s="555" t="s">
        <v>843</v>
      </c>
      <c r="F26" s="952" t="s">
        <v>844</v>
      </c>
      <c r="G26" s="682"/>
      <c r="H26" s="688"/>
      <c r="I26" s="682"/>
      <c r="J26" s="688"/>
      <c r="K26" s="950"/>
      <c r="L26" s="722"/>
      <c r="W26" s="677"/>
      <c r="X26" s="760">
        <v>0</v>
      </c>
    </row>
    <row s="1637" customFormat="1" customHeight="1" ht="18.75">
      <c r="A27" s="2394"/>
      <c r="C27" s="958"/>
      <c r="D27" s="955" t="s">
        <v>845</v>
      </c>
      <c r="E27" s="555" t="s">
        <v>846</v>
      </c>
      <c r="F27" s="952" t="s">
        <v>847</v>
      </c>
      <c r="G27" s="682"/>
      <c r="H27" s="688"/>
      <c r="I27" s="682"/>
      <c r="J27" s="688"/>
      <c r="K27" s="950"/>
      <c r="L27" s="722"/>
      <c r="W27" s="677"/>
      <c r="X27" s="760">
        <v>0</v>
      </c>
    </row>
    <row s="1637" customFormat="1" customHeight="1" ht="18.75">
      <c r="A28" s="2394"/>
      <c r="C28" s="958"/>
      <c r="D28" s="955" t="s">
        <v>848</v>
      </c>
      <c r="E28" s="578" t="s">
        <v>849</v>
      </c>
      <c r="F28" s="952" t="s">
        <v>315</v>
      </c>
      <c r="G28" s="952" t="s">
        <v>315</v>
      </c>
      <c r="H28" s="951" t="s">
        <v>315</v>
      </c>
      <c r="I28" s="952" t="s">
        <v>315</v>
      </c>
      <c r="J28" s="951" t="s">
        <v>315</v>
      </c>
      <c r="K28" s="950"/>
      <c r="L28" s="722"/>
      <c r="W28" s="677"/>
      <c r="X28" s="760">
        <v>0</v>
      </c>
    </row>
    <row s="1637" customFormat="1" customHeight="1" ht="18.75">
      <c r="A29" s="2394"/>
      <c r="C29" s="958"/>
      <c r="D29" s="955" t="s">
        <v>850</v>
      </c>
      <c r="E29" s="555" t="s">
        <v>843</v>
      </c>
      <c r="F29" s="952" t="s">
        <v>851</v>
      </c>
      <c r="G29" s="682"/>
      <c r="H29" s="688"/>
      <c r="I29" s="682"/>
      <c r="J29" s="688"/>
      <c r="K29" s="950"/>
      <c r="L29" s="722"/>
      <c r="W29" s="677"/>
      <c r="X29" s="760">
        <v>0</v>
      </c>
    </row>
    <row s="1637" customFormat="1" customHeight="1" ht="18.75">
      <c r="A30" s="2394"/>
      <c r="C30" s="958"/>
      <c r="D30" s="955" t="s">
        <v>852</v>
      </c>
      <c r="E30" s="555" t="s">
        <v>853</v>
      </c>
      <c r="F30" s="952" t="s">
        <v>854</v>
      </c>
      <c r="G30" s="682"/>
      <c r="H30" s="688"/>
      <c r="I30" s="682"/>
      <c r="J30" s="688"/>
      <c r="K30" s="950"/>
      <c r="L30" s="722"/>
      <c r="W30" s="677"/>
      <c r="X30" s="760">
        <v>0</v>
      </c>
    </row>
    <row customHeight="1" ht="126.75">
      <c r="A31" s="2394"/>
      <c r="D31" s="955" t="s">
        <v>113</v>
      </c>
      <c r="E31" s="281" t="s">
        <v>855</v>
      </c>
      <c r="F31" s="662" t="s">
        <v>566</v>
      </c>
      <c r="G31" s="559"/>
      <c r="H31" s="664"/>
      <c r="I31" s="559"/>
      <c r="J31" s="664"/>
      <c r="K31" s="291" t="s">
        <v>856</v>
      </c>
      <c r="L31" s="722"/>
      <c r="X31" s="507">
        <v>0</v>
      </c>
    </row>
    <row customHeight="1" ht="56.25">
      <c r="A32" s="2394"/>
      <c r="D32" s="955" t="s">
        <v>94</v>
      </c>
      <c r="E32" s="281" t="s">
        <v>857</v>
      </c>
      <c r="F32" s="541" t="s">
        <v>827</v>
      </c>
      <c r="G32" s="559"/>
      <c r="H32" s="664"/>
      <c r="I32" s="559"/>
      <c r="J32" s="664"/>
      <c r="K32" s="291" t="s">
        <v>858</v>
      </c>
      <c r="L32" s="722"/>
      <c r="X32" s="507">
        <v>0</v>
      </c>
    </row>
    <row customHeight="1" ht="11.25">
      <c r="A33" s="2394"/>
      <c r="E33" s="666"/>
      <c r="F33" s="183"/>
      <c r="G33" s="183"/>
      <c r="H33" s="183"/>
      <c r="I33" s="183"/>
      <c r="J33" s="183"/>
      <c r="K33" s="183"/>
      <c r="X33" s="507">
        <v>0</v>
      </c>
    </row>
    <row customHeight="1" ht="12.75">
      <c r="A34" s="2394"/>
      <c r="D34" s="67">
        <v>1</v>
      </c>
      <c r="E34" s="337" t="s">
        <v>859</v>
      </c>
      <c r="X34" s="507">
        <v>0</v>
      </c>
    </row>
    <row customHeight="1" ht="11.25">
      <c r="A35" s="2394"/>
      <c r="D35" s="371"/>
      <c r="E35" s="337" t="s">
        <v>860</v>
      </c>
      <c r="X35" s="507">
        <v>0</v>
      </c>
    </row>
    <row s="1637" customFormat="1" customHeight="1" ht="11.25">
      <c r="A36" s="1035"/>
      <c r="B36" s="520"/>
      <c r="D36" s="1036"/>
      <c r="E36" s="1037"/>
      <c r="X36" s="511">
        <v>11</v>
      </c>
    </row>
    <row s="1637" customFormat="1" customHeight="1" ht="22.5" hidden="1">
      <c r="A37" s="2394" t="s">
        <v>861</v>
      </c>
      <c r="B37" s="513"/>
      <c r="D37" s="955">
        <v>1</v>
      </c>
      <c r="E37" s="709" t="s">
        <v>862</v>
      </c>
      <c r="F37" s="662" t="s">
        <v>817</v>
      </c>
      <c r="G37" s="559"/>
      <c r="H37" s="521"/>
      <c r="I37" s="559"/>
      <c r="J37" s="521"/>
      <c r="K37" s="291" t="s">
        <v>863</v>
      </c>
      <c r="X37" s="760">
        <v>0</v>
      </c>
    </row>
    <row s="1637" customFormat="1" customHeight="1" ht="22.5" hidden="1">
      <c r="A38" s="2394"/>
      <c r="B38" s="513"/>
      <c r="D38" s="671" t="s">
        <v>112</v>
      </c>
      <c r="E38" s="1034" t="s">
        <v>864</v>
      </c>
      <c r="F38" s="1038" t="s">
        <v>554</v>
      </c>
      <c r="G38" s="1038" t="s">
        <v>554</v>
      </c>
      <c r="H38" s="1032"/>
      <c r="I38" s="1038" t="s">
        <v>554</v>
      </c>
      <c r="J38" s="1032"/>
      <c r="K38" s="1033"/>
      <c r="X38" s="760">
        <v>0</v>
      </c>
    </row>
    <row s="1637" customFormat="1" customHeight="1" ht="33.75" hidden="1">
      <c r="A39" s="2394"/>
      <c r="B39" s="513"/>
      <c r="D39" s="667" t="s">
        <v>719</v>
      </c>
      <c r="E39" s="725" t="s">
        <v>865</v>
      </c>
      <c r="F39" s="662" t="s">
        <v>866</v>
      </c>
      <c r="G39" s="670"/>
      <c r="H39" s="1025"/>
      <c r="I39" s="670"/>
      <c r="J39" s="1025"/>
      <c r="K39" s="291" t="s">
        <v>867</v>
      </c>
      <c r="X39" s="760">
        <v>0</v>
      </c>
    </row>
    <row s="1637" customFormat="1" customHeight="1" ht="33.75" hidden="1">
      <c r="A40" s="2394"/>
      <c r="B40" s="513"/>
      <c r="D40" s="667" t="s">
        <v>722</v>
      </c>
      <c r="E40" s="725" t="s">
        <v>868</v>
      </c>
      <c r="F40" s="1029" t="s">
        <v>869</v>
      </c>
      <c r="G40" s="743"/>
      <c r="H40" s="1025"/>
      <c r="I40" s="743"/>
      <c r="J40" s="1025"/>
      <c r="K40" s="291" t="s">
        <v>870</v>
      </c>
      <c r="X40" s="760">
        <v>0</v>
      </c>
    </row>
    <row s="1637" customFormat="1" customHeight="1" ht="22.5" hidden="1">
      <c r="A41" s="2394"/>
      <c r="B41" s="513"/>
      <c r="D41" s="667" t="s">
        <v>92</v>
      </c>
      <c r="E41" s="724" t="s">
        <v>871</v>
      </c>
      <c r="F41" s="662" t="s">
        <v>554</v>
      </c>
      <c r="G41" s="662" t="s">
        <v>554</v>
      </c>
      <c r="H41" s="1026"/>
      <c r="I41" s="662" t="s">
        <v>554</v>
      </c>
      <c r="J41" s="1026"/>
      <c r="K41" s="304"/>
      <c r="X41" s="760">
        <v>0</v>
      </c>
    </row>
    <row s="1637" customFormat="1" customHeight="1" ht="45" hidden="1">
      <c r="A42" s="2394"/>
      <c r="B42" s="513"/>
      <c r="D42" s="667" t="s">
        <v>333</v>
      </c>
      <c r="E42" s="725" t="s">
        <v>872</v>
      </c>
      <c r="F42" s="662" t="s">
        <v>566</v>
      </c>
      <c r="G42" s="559"/>
      <c r="H42" s="1026"/>
      <c r="I42" s="559"/>
      <c r="J42" s="1026"/>
      <c r="K42" s="304" t="s">
        <v>873</v>
      </c>
      <c r="X42" s="760">
        <v>0</v>
      </c>
    </row>
    <row s="1637" customFormat="1" customHeight="1" ht="45" hidden="1">
      <c r="A43" s="2394"/>
      <c r="B43" s="513"/>
      <c r="D43" s="667" t="s">
        <v>341</v>
      </c>
      <c r="E43" s="669" t="s">
        <v>874</v>
      </c>
      <c r="F43" s="1030" t="s">
        <v>566</v>
      </c>
      <c r="G43" s="744"/>
      <c r="H43" s="1025"/>
      <c r="I43" s="744"/>
      <c r="J43" s="1025"/>
      <c r="K43" s="304" t="s">
        <v>875</v>
      </c>
      <c r="X43" s="760">
        <v>0</v>
      </c>
    </row>
    <row s="1637" customFormat="1" customHeight="1" ht="11.25" hidden="1">
      <c r="A44" s="2394"/>
      <c r="B44" s="513"/>
      <c r="D44" s="667" t="s">
        <v>93</v>
      </c>
      <c r="E44" s="668" t="s">
        <v>876</v>
      </c>
      <c r="F44" s="662" t="s">
        <v>866</v>
      </c>
      <c r="G44" s="670"/>
      <c r="H44" s="1025"/>
      <c r="I44" s="670"/>
      <c r="J44" s="1025"/>
      <c r="K44" s="291"/>
      <c r="X44" s="760">
        <v>0</v>
      </c>
    </row>
    <row s="1637" customFormat="1" customHeight="1" ht="11.25" hidden="1">
      <c r="A45" s="2394"/>
      <c r="B45" s="513"/>
      <c r="D45" s="667" t="s">
        <v>761</v>
      </c>
      <c r="E45" s="669" t="s">
        <v>877</v>
      </c>
      <c r="F45" s="662" t="s">
        <v>866</v>
      </c>
      <c r="G45" s="670"/>
      <c r="H45" s="1025"/>
      <c r="I45" s="670"/>
      <c r="J45" s="1025"/>
      <c r="K45" s="291"/>
      <c r="X45" s="760">
        <v>0</v>
      </c>
    </row>
    <row s="1637" customFormat="1" customHeight="1" ht="11.25" hidden="1">
      <c r="A46" s="2394"/>
      <c r="B46" s="513"/>
      <c r="D46" s="667" t="s">
        <v>803</v>
      </c>
      <c r="E46" s="669" t="s">
        <v>878</v>
      </c>
      <c r="F46" s="662" t="s">
        <v>866</v>
      </c>
      <c r="G46" s="670"/>
      <c r="H46" s="1025"/>
      <c r="I46" s="670"/>
      <c r="J46" s="1025"/>
      <c r="K46" s="291"/>
      <c r="X46" s="760">
        <v>0</v>
      </c>
    </row>
    <row s="1637" customFormat="1" customHeight="1" ht="11.25" hidden="1">
      <c r="A47" s="2394"/>
      <c r="B47" s="513"/>
      <c r="D47" s="667" t="s">
        <v>806</v>
      </c>
      <c r="E47" s="669" t="s">
        <v>879</v>
      </c>
      <c r="F47" s="662" t="s">
        <v>866</v>
      </c>
      <c r="G47" s="670"/>
      <c r="H47" s="1025"/>
      <c r="I47" s="670"/>
      <c r="J47" s="1025"/>
      <c r="K47" s="291"/>
      <c r="X47" s="760">
        <v>0</v>
      </c>
    </row>
    <row s="1637" customFormat="1" customHeight="1" ht="11.25" hidden="1">
      <c r="A48" s="2394"/>
      <c r="B48" s="513"/>
      <c r="D48" s="667" t="s">
        <v>880</v>
      </c>
      <c r="E48" s="673" t="s">
        <v>881</v>
      </c>
      <c r="F48" s="662" t="s">
        <v>866</v>
      </c>
      <c r="G48" s="670"/>
      <c r="H48" s="1025"/>
      <c r="I48" s="670"/>
      <c r="J48" s="1025"/>
      <c r="K48" s="291"/>
      <c r="X48" s="760">
        <v>0</v>
      </c>
    </row>
    <row s="1637" customFormat="1" customHeight="1" ht="11.25" hidden="1">
      <c r="A49" s="2394"/>
      <c r="B49" s="513"/>
      <c r="D49" s="667" t="s">
        <v>882</v>
      </c>
      <c r="E49" s="673" t="s">
        <v>883</v>
      </c>
      <c r="F49" s="662" t="s">
        <v>866</v>
      </c>
      <c r="G49" s="670"/>
      <c r="H49" s="1025"/>
      <c r="I49" s="670"/>
      <c r="J49" s="1025"/>
      <c r="K49" s="291"/>
      <c r="X49" s="760">
        <v>0</v>
      </c>
    </row>
    <row s="1637" customFormat="1" customHeight="1" ht="11.25" hidden="1">
      <c r="A50" s="2394"/>
      <c r="B50" s="513"/>
      <c r="D50" s="667" t="s">
        <v>884</v>
      </c>
      <c r="E50" s="669" t="s">
        <v>885</v>
      </c>
      <c r="F50" s="662" t="s">
        <v>866</v>
      </c>
      <c r="G50" s="670"/>
      <c r="H50" s="1025"/>
      <c r="I50" s="670"/>
      <c r="J50" s="1025"/>
      <c r="K50" s="291"/>
      <c r="X50" s="760">
        <v>0</v>
      </c>
    </row>
    <row s="1637" customFormat="1" customHeight="1" ht="11.25" hidden="1">
      <c r="A51" s="2394"/>
      <c r="B51" s="513"/>
      <c r="D51" s="667" t="s">
        <v>886</v>
      </c>
      <c r="E51" s="669" t="s">
        <v>887</v>
      </c>
      <c r="F51" s="662" t="s">
        <v>866</v>
      </c>
      <c r="G51" s="670"/>
      <c r="H51" s="1025"/>
      <c r="I51" s="670"/>
      <c r="J51" s="1025"/>
      <c r="K51" s="291"/>
      <c r="X51" s="760">
        <v>0</v>
      </c>
    </row>
    <row s="1637" customFormat="1" customHeight="1" ht="45" hidden="1">
      <c r="A52" s="2394"/>
      <c r="B52" s="513"/>
      <c r="D52" s="667" t="s">
        <v>113</v>
      </c>
      <c r="E52" s="668" t="s">
        <v>888</v>
      </c>
      <c r="F52" s="662" t="s">
        <v>866</v>
      </c>
      <c r="G52" s="670"/>
      <c r="H52" s="1025"/>
      <c r="I52" s="670"/>
      <c r="J52" s="1025"/>
      <c r="K52" s="291"/>
      <c r="X52" s="760">
        <v>0</v>
      </c>
    </row>
    <row s="1637" customFormat="1" customHeight="1" ht="11.25" hidden="1">
      <c r="A53" s="2394"/>
      <c r="B53" s="513"/>
      <c r="D53" s="667" t="s">
        <v>322</v>
      </c>
      <c r="E53" s="669" t="s">
        <v>877</v>
      </c>
      <c r="F53" s="662" t="s">
        <v>866</v>
      </c>
      <c r="G53" s="670"/>
      <c r="H53" s="1025"/>
      <c r="I53" s="670"/>
      <c r="J53" s="1025"/>
      <c r="K53" s="291"/>
      <c r="X53" s="760">
        <v>0</v>
      </c>
    </row>
    <row s="1637" customFormat="1" customHeight="1" ht="11.25" hidden="1">
      <c r="A54" s="2394"/>
      <c r="B54" s="513"/>
      <c r="D54" s="667" t="s">
        <v>889</v>
      </c>
      <c r="E54" s="669" t="s">
        <v>878</v>
      </c>
      <c r="F54" s="662" t="s">
        <v>866</v>
      </c>
      <c r="G54" s="670"/>
      <c r="H54" s="1025"/>
      <c r="I54" s="670"/>
      <c r="J54" s="1025"/>
      <c r="K54" s="291"/>
      <c r="X54" s="760">
        <v>0</v>
      </c>
    </row>
    <row s="1637" customFormat="1" customHeight="1" ht="11.25" hidden="1">
      <c r="A55" s="2394"/>
      <c r="B55" s="513"/>
      <c r="D55" s="667" t="s">
        <v>890</v>
      </c>
      <c r="E55" s="669" t="s">
        <v>879</v>
      </c>
      <c r="F55" s="662" t="s">
        <v>866</v>
      </c>
      <c r="G55" s="670"/>
      <c r="H55" s="1025"/>
      <c r="I55" s="670"/>
      <c r="J55" s="1025"/>
      <c r="K55" s="291"/>
      <c r="X55" s="760">
        <v>0</v>
      </c>
    </row>
    <row s="1637" customFormat="1" customHeight="1" ht="11.25" hidden="1">
      <c r="A56" s="2394"/>
      <c r="B56" s="513"/>
      <c r="D56" s="667" t="s">
        <v>891</v>
      </c>
      <c r="E56" s="673" t="s">
        <v>881</v>
      </c>
      <c r="F56" s="662" t="s">
        <v>866</v>
      </c>
      <c r="G56" s="670"/>
      <c r="H56" s="1025"/>
      <c r="I56" s="670"/>
      <c r="J56" s="1025"/>
      <c r="K56" s="291"/>
      <c r="X56" s="760">
        <v>0</v>
      </c>
    </row>
    <row s="1637" customFormat="1" customHeight="1" ht="11.25" hidden="1">
      <c r="A57" s="2394"/>
      <c r="B57" s="513"/>
      <c r="D57" s="667" t="s">
        <v>892</v>
      </c>
      <c r="E57" s="673" t="s">
        <v>883</v>
      </c>
      <c r="F57" s="662" t="s">
        <v>866</v>
      </c>
      <c r="G57" s="670"/>
      <c r="H57" s="1025"/>
      <c r="I57" s="670"/>
      <c r="J57" s="1025"/>
      <c r="K57" s="291"/>
      <c r="X57" s="760">
        <v>0</v>
      </c>
    </row>
    <row s="1637" customFormat="1" customHeight="1" ht="11.25" hidden="1">
      <c r="A58" s="2394"/>
      <c r="B58" s="513"/>
      <c r="D58" s="667" t="s">
        <v>893</v>
      </c>
      <c r="E58" s="669" t="s">
        <v>885</v>
      </c>
      <c r="F58" s="662" t="s">
        <v>866</v>
      </c>
      <c r="G58" s="670"/>
      <c r="H58" s="1025"/>
      <c r="I58" s="670"/>
      <c r="J58" s="1025"/>
      <c r="K58" s="291"/>
      <c r="X58" s="760">
        <v>0</v>
      </c>
    </row>
    <row s="1637" customFormat="1" customHeight="1" ht="11.25" hidden="1">
      <c r="A59" s="2394"/>
      <c r="B59" s="513"/>
      <c r="D59" s="667" t="s">
        <v>894</v>
      </c>
      <c r="E59" s="669" t="s">
        <v>887</v>
      </c>
      <c r="F59" s="662" t="s">
        <v>866</v>
      </c>
      <c r="G59" s="670"/>
      <c r="H59" s="1025"/>
      <c r="I59" s="670"/>
      <c r="J59" s="1025"/>
      <c r="K59" s="291"/>
      <c r="X59" s="760">
        <v>0</v>
      </c>
    </row>
    <row s="1637" customFormat="1" customHeight="1" ht="33.75" hidden="1">
      <c r="A60" s="2394"/>
      <c r="B60" s="513"/>
      <c r="D60" s="667" t="s">
        <v>94</v>
      </c>
      <c r="E60" s="668" t="s">
        <v>895</v>
      </c>
      <c r="F60" s="723" t="s">
        <v>566</v>
      </c>
      <c r="G60" s="744"/>
      <c r="H60" s="1025"/>
      <c r="I60" s="744"/>
      <c r="J60" s="1025"/>
      <c r="K60" s="304" t="s">
        <v>896</v>
      </c>
      <c r="X60" s="760">
        <v>0</v>
      </c>
    </row>
    <row s="1637" customFormat="1" customHeight="1" ht="33.75" hidden="1">
      <c r="A61" s="2394"/>
      <c r="B61" s="513"/>
      <c r="D61" s="667" t="s">
        <v>95</v>
      </c>
      <c r="E61" s="668" t="s">
        <v>897</v>
      </c>
      <c r="F61" s="728" t="s">
        <v>827</v>
      </c>
      <c r="G61" s="670"/>
      <c r="H61" s="1025"/>
      <c r="I61" s="670"/>
      <c r="J61" s="1025"/>
      <c r="K61" s="291"/>
      <c r="X61" s="760">
        <v>0</v>
      </c>
    </row>
    <row s="1637" customFormat="1" customHeight="1" ht="22.5" hidden="1">
      <c r="A62" s="2394"/>
      <c r="B62" s="513" t="s">
        <v>596</v>
      </c>
      <c r="D62" s="667" t="s">
        <v>114</v>
      </c>
      <c r="E62" s="668" t="s">
        <v>898</v>
      </c>
      <c r="F62" s="728" t="s">
        <v>315</v>
      </c>
      <c r="G62" s="384"/>
      <c r="H62" s="1025"/>
      <c r="I62" s="384"/>
      <c r="J62" s="1025"/>
      <c r="K62" s="291" t="s">
        <v>639</v>
      </c>
      <c r="X62" s="760">
        <v>0</v>
      </c>
    </row>
    <row s="1637" customFormat="1" customHeight="1" ht="45" hidden="1">
      <c r="A63" s="2394"/>
      <c r="B63" s="513" t="s">
        <v>596</v>
      </c>
      <c r="D63" s="667" t="s">
        <v>899</v>
      </c>
      <c r="E63" s="669" t="s">
        <v>900</v>
      </c>
      <c r="F63" s="723" t="s">
        <v>315</v>
      </c>
      <c r="G63" s="384"/>
      <c r="H63" s="1025"/>
      <c r="I63" s="384"/>
      <c r="J63" s="1025"/>
      <c r="K63" s="291" t="s">
        <v>639</v>
      </c>
      <c r="X63" s="760">
        <v>0</v>
      </c>
    </row>
    <row s="1637" customFormat="1" customHeight="1" ht="11.25">
      <c r="A64" s="1035"/>
      <c r="B64" s="520"/>
      <c r="D64" s="1036"/>
      <c r="E64" s="1037"/>
      <c r="X64" s="511">
        <v>11</v>
      </c>
    </row>
    <row s="1637" customFormat="1" customHeight="1" ht="22.5" hidden="1">
      <c r="A65" s="2394" t="s">
        <v>901</v>
      </c>
      <c r="B65" s="513"/>
      <c r="D65" s="667">
        <v>1</v>
      </c>
      <c r="E65" s="746" t="s">
        <v>902</v>
      </c>
      <c r="F65" s="742" t="s">
        <v>817</v>
      </c>
      <c r="G65" s="743"/>
      <c r="H65" s="1031"/>
      <c r="I65" s="743"/>
      <c r="J65" s="1031"/>
      <c r="K65" s="303" t="s">
        <v>903</v>
      </c>
      <c r="X65" s="760">
        <v>0</v>
      </c>
    </row>
    <row s="1637" customFormat="1" customHeight="1" ht="56.25" hidden="1">
      <c r="A66" s="2394"/>
      <c r="B66" s="513"/>
      <c r="D66" s="745" t="s">
        <v>112</v>
      </c>
      <c r="E66" s="709" t="s">
        <v>904</v>
      </c>
      <c r="F66" s="662" t="s">
        <v>554</v>
      </c>
      <c r="G66" s="662" t="s">
        <v>554</v>
      </c>
      <c r="H66" s="521"/>
      <c r="I66" s="662" t="s">
        <v>554</v>
      </c>
      <c r="J66" s="521"/>
      <c r="K66" s="291"/>
      <c r="X66" s="760">
        <v>0</v>
      </c>
    </row>
    <row s="1637" customFormat="1" customHeight="1" ht="33.75" hidden="1">
      <c r="A67" s="2394"/>
      <c r="B67" s="513"/>
      <c r="D67" s="745" t="s">
        <v>716</v>
      </c>
      <c r="E67" s="956" t="s">
        <v>905</v>
      </c>
      <c r="F67" s="662" t="s">
        <v>869</v>
      </c>
      <c r="G67" s="729"/>
      <c r="H67" s="521"/>
      <c r="I67" s="729"/>
      <c r="J67" s="521"/>
      <c r="K67" s="291"/>
      <c r="X67" s="760">
        <v>0</v>
      </c>
    </row>
    <row s="1637" customFormat="1" customHeight="1" ht="22.5" hidden="1">
      <c r="A68" s="2394"/>
      <c r="B68" s="513"/>
      <c r="D68" s="745" t="s">
        <v>316</v>
      </c>
      <c r="E68" s="956" t="s">
        <v>906</v>
      </c>
      <c r="F68" s="662" t="s">
        <v>869</v>
      </c>
      <c r="G68" s="729"/>
      <c r="H68" s="521"/>
      <c r="I68" s="729"/>
      <c r="J68" s="521"/>
      <c r="K68" s="291"/>
      <c r="X68" s="760">
        <v>0</v>
      </c>
    </row>
    <row s="1637" customFormat="1" customHeight="1" ht="22.5" hidden="1">
      <c r="A69" s="2394"/>
      <c r="B69" s="513"/>
      <c r="D69" s="745" t="s">
        <v>319</v>
      </c>
      <c r="E69" s="956" t="s">
        <v>907</v>
      </c>
      <c r="F69" s="723" t="s">
        <v>566</v>
      </c>
      <c r="G69" s="744"/>
      <c r="H69" s="521"/>
      <c r="I69" s="744"/>
      <c r="J69" s="521"/>
      <c r="K69" s="291"/>
      <c r="X69" s="760">
        <v>0</v>
      </c>
    </row>
    <row s="1637" customFormat="1" customHeight="1" ht="22.5" hidden="1">
      <c r="A70" s="2394"/>
      <c r="B70" s="513"/>
      <c r="D70" s="745" t="s">
        <v>736</v>
      </c>
      <c r="E70" s="956" t="s">
        <v>908</v>
      </c>
      <c r="F70" s="723" t="s">
        <v>566</v>
      </c>
      <c r="G70" s="744"/>
      <c r="H70" s="521"/>
      <c r="I70" s="744"/>
      <c r="J70" s="521"/>
      <c r="K70" s="291"/>
      <c r="X70" s="760">
        <v>0</v>
      </c>
    </row>
    <row s="1637" customFormat="1" customHeight="1" ht="22.5" hidden="1">
      <c r="A71" s="2394"/>
      <c r="B71" s="513"/>
      <c r="D71" s="667" t="s">
        <v>92</v>
      </c>
      <c r="E71" s="668" t="s">
        <v>909</v>
      </c>
      <c r="F71" s="662" t="s">
        <v>869</v>
      </c>
      <c r="G71" s="559"/>
      <c r="H71" s="1032"/>
      <c r="I71" s="559"/>
      <c r="J71" s="1032"/>
      <c r="K71" s="304"/>
      <c r="X71" s="760">
        <v>0</v>
      </c>
    </row>
    <row s="1637" customFormat="1" customHeight="1" ht="56.25" hidden="1">
      <c r="A72" s="2394"/>
      <c r="B72" s="513"/>
      <c r="D72" s="667" t="s">
        <v>93</v>
      </c>
      <c r="E72" s="668" t="s">
        <v>910</v>
      </c>
      <c r="F72" s="723" t="s">
        <v>566</v>
      </c>
      <c r="G72" s="744"/>
      <c r="H72" s="1025"/>
      <c r="I72" s="744"/>
      <c r="J72" s="1025"/>
      <c r="K72" s="304"/>
      <c r="X72" s="760">
        <v>0</v>
      </c>
    </row>
    <row s="1637" customFormat="1" customHeight="1" ht="33.75" hidden="1">
      <c r="A73" s="2394"/>
      <c r="B73" s="513"/>
      <c r="D73" s="667" t="s">
        <v>113</v>
      </c>
      <c r="E73" s="668" t="s">
        <v>911</v>
      </c>
      <c r="F73" s="728" t="s">
        <v>827</v>
      </c>
      <c r="G73" s="670"/>
      <c r="H73" s="1025"/>
      <c r="I73" s="670"/>
      <c r="J73" s="1025"/>
      <c r="K73" s="291"/>
      <c r="X73" s="760">
        <v>0</v>
      </c>
    </row>
    <row s="1637" customFormat="1" customHeight="1" ht="22.5" hidden="1">
      <c r="A74" s="2394"/>
      <c r="B74" s="513" t="s">
        <v>596</v>
      </c>
      <c r="D74" s="667" t="s">
        <v>94</v>
      </c>
      <c r="E74" s="668" t="s">
        <v>912</v>
      </c>
      <c r="F74" s="728" t="s">
        <v>315</v>
      </c>
      <c r="G74" s="384"/>
      <c r="H74" s="1025"/>
      <c r="I74" s="384"/>
      <c r="J74" s="1025"/>
      <c r="K74" s="291" t="s">
        <v>639</v>
      </c>
      <c r="X74" s="760">
        <v>0</v>
      </c>
    </row>
    <row s="1637" customFormat="1" customHeight="1" ht="45" hidden="1">
      <c r="A75" s="2394"/>
      <c r="B75" s="513" t="s">
        <v>596</v>
      </c>
      <c r="D75" s="667" t="s">
        <v>660</v>
      </c>
      <c r="E75" s="669" t="s">
        <v>913</v>
      </c>
      <c r="F75" s="723" t="s">
        <v>315</v>
      </c>
      <c r="G75" s="384"/>
      <c r="H75" s="1025"/>
      <c r="I75" s="384"/>
      <c r="J75" s="1025"/>
      <c r="K75" s="291" t="s">
        <v>639</v>
      </c>
      <c r="X75" s="760">
        <v>0</v>
      </c>
    </row>
    <row s="1637" customFormat="1" customHeight="1" ht="11.25">
      <c r="A76" s="1035"/>
      <c r="B76" s="520"/>
      <c r="D76" s="1036"/>
      <c r="E76" s="1037"/>
      <c r="X76" s="511">
        <v>11</v>
      </c>
    </row>
    <row s="1637" customFormat="1" customHeight="1" ht="11.25" hidden="1">
      <c r="A77" s="2394" t="s">
        <v>914</v>
      </c>
      <c r="B77" s="513"/>
      <c r="D77" s="667">
        <v>1</v>
      </c>
      <c r="E77" s="668" t="s">
        <v>915</v>
      </c>
      <c r="F77" s="723" t="s">
        <v>817</v>
      </c>
      <c r="G77" s="726"/>
      <c r="H77" s="1025"/>
      <c r="I77" s="726"/>
      <c r="J77" s="1025"/>
      <c r="K77" s="291" t="s">
        <v>916</v>
      </c>
      <c r="X77" s="760">
        <v>0</v>
      </c>
    </row>
    <row s="1637" customFormat="1" customHeight="1" ht="11.25" hidden="1">
      <c r="A78" s="2394"/>
      <c r="B78" s="513"/>
      <c r="D78" s="667" t="s">
        <v>112</v>
      </c>
      <c r="E78" s="668" t="s">
        <v>917</v>
      </c>
      <c r="F78" s="723" t="s">
        <v>817</v>
      </c>
      <c r="G78" s="726"/>
      <c r="H78" s="1025"/>
      <c r="I78" s="726"/>
      <c r="J78" s="1025"/>
      <c r="K78" s="291" t="s">
        <v>918</v>
      </c>
      <c r="X78" s="760">
        <v>0</v>
      </c>
    </row>
    <row s="1637" customFormat="1" customHeight="1" ht="22.5" hidden="1">
      <c r="A79" s="2394"/>
      <c r="B79" s="513"/>
      <c r="D79" s="667" t="s">
        <v>92</v>
      </c>
      <c r="E79" s="724" t="s">
        <v>919</v>
      </c>
      <c r="F79" s="662" t="s">
        <v>866</v>
      </c>
      <c r="G79" s="726"/>
      <c r="H79" s="1025"/>
      <c r="I79" s="726"/>
      <c r="J79" s="1025"/>
      <c r="K79" s="291" t="s">
        <v>920</v>
      </c>
      <c r="X79" s="760">
        <v>0</v>
      </c>
    </row>
    <row s="1637" customFormat="1" customHeight="1" ht="11.25" hidden="1">
      <c r="A80" s="2394"/>
      <c r="B80" s="513"/>
      <c r="D80" s="667" t="s">
        <v>333</v>
      </c>
      <c r="E80" s="725" t="s">
        <v>921</v>
      </c>
      <c r="F80" s="662" t="s">
        <v>866</v>
      </c>
      <c r="G80" s="726"/>
      <c r="H80" s="1025"/>
      <c r="I80" s="726"/>
      <c r="J80" s="1025"/>
      <c r="K80" s="291"/>
      <c r="X80" s="760">
        <v>0</v>
      </c>
    </row>
    <row s="1637" customFormat="1" customHeight="1" ht="11.25" hidden="1">
      <c r="A81" s="2394"/>
      <c r="B81" s="513"/>
      <c r="D81" s="667" t="s">
        <v>341</v>
      </c>
      <c r="E81" s="725" t="s">
        <v>922</v>
      </c>
      <c r="F81" s="662" t="s">
        <v>866</v>
      </c>
      <c r="G81" s="726"/>
      <c r="H81" s="1025"/>
      <c r="I81" s="726"/>
      <c r="J81" s="1025"/>
      <c r="K81" s="291"/>
      <c r="X81" s="760">
        <v>0</v>
      </c>
    </row>
    <row s="1637" customFormat="1" customHeight="1" ht="11.25" hidden="1">
      <c r="A82" s="2394"/>
      <c r="B82" s="513"/>
      <c r="D82" s="667" t="s">
        <v>343</v>
      </c>
      <c r="E82" s="725" t="s">
        <v>923</v>
      </c>
      <c r="F82" s="662" t="s">
        <v>866</v>
      </c>
      <c r="G82" s="726"/>
      <c r="H82" s="1025"/>
      <c r="I82" s="726"/>
      <c r="J82" s="1025"/>
      <c r="K82" s="291"/>
      <c r="X82" s="760">
        <v>0</v>
      </c>
    </row>
    <row s="1637" customFormat="1" customHeight="1" ht="11.25" hidden="1">
      <c r="A83" s="2394"/>
      <c r="B83" s="513"/>
      <c r="D83" s="667" t="s">
        <v>345</v>
      </c>
      <c r="E83" s="725" t="s">
        <v>924</v>
      </c>
      <c r="F83" s="662" t="s">
        <v>866</v>
      </c>
      <c r="G83" s="726"/>
      <c r="H83" s="1025"/>
      <c r="I83" s="726"/>
      <c r="J83" s="1025"/>
      <c r="K83" s="291"/>
      <c r="X83" s="760">
        <v>0</v>
      </c>
    </row>
    <row s="1637" customFormat="1" customHeight="1" ht="11.25" hidden="1">
      <c r="A84" s="2394"/>
      <c r="B84" s="513"/>
      <c r="D84" s="667" t="s">
        <v>925</v>
      </c>
      <c r="E84" s="725" t="s">
        <v>926</v>
      </c>
      <c r="F84" s="662" t="s">
        <v>866</v>
      </c>
      <c r="G84" s="726"/>
      <c r="H84" s="1025"/>
      <c r="I84" s="726"/>
      <c r="J84" s="1025"/>
      <c r="K84" s="291"/>
      <c r="X84" s="760">
        <v>0</v>
      </c>
    </row>
    <row s="1637" customFormat="1" customHeight="1" ht="11.25" hidden="1">
      <c r="A85" s="2394"/>
      <c r="B85" s="513"/>
      <c r="D85" s="667" t="s">
        <v>927</v>
      </c>
      <c r="E85" s="725" t="s">
        <v>928</v>
      </c>
      <c r="F85" s="662" t="s">
        <v>866</v>
      </c>
      <c r="G85" s="726"/>
      <c r="H85" s="1025"/>
      <c r="I85" s="726"/>
      <c r="J85" s="1025"/>
      <c r="K85" s="291"/>
      <c r="X85" s="760">
        <v>0</v>
      </c>
    </row>
    <row s="1637" customFormat="1" customHeight="1" ht="11.25" hidden="1">
      <c r="A86" s="2394"/>
      <c r="B86" s="513"/>
      <c r="D86" s="667" t="s">
        <v>929</v>
      </c>
      <c r="E86" s="725" t="s">
        <v>930</v>
      </c>
      <c r="F86" s="662" t="s">
        <v>866</v>
      </c>
      <c r="G86" s="726"/>
      <c r="H86" s="1025"/>
      <c r="I86" s="726"/>
      <c r="J86" s="1025"/>
      <c r="K86" s="291"/>
      <c r="X86" s="760">
        <v>0</v>
      </c>
    </row>
    <row s="1637" customFormat="1" customHeight="1" ht="45" hidden="1">
      <c r="A87" s="2394"/>
      <c r="B87" s="513"/>
      <c r="D87" s="667" t="s">
        <v>93</v>
      </c>
      <c r="E87" s="668" t="s">
        <v>931</v>
      </c>
      <c r="F87" s="662" t="s">
        <v>866</v>
      </c>
      <c r="G87" s="726"/>
      <c r="H87" s="1025"/>
      <c r="I87" s="726"/>
      <c r="J87" s="1025"/>
      <c r="K87" s="291" t="s">
        <v>932</v>
      </c>
      <c r="X87" s="760">
        <v>0</v>
      </c>
    </row>
    <row s="1637" customFormat="1" customHeight="1" ht="11.25" hidden="1">
      <c r="A88" s="2394"/>
      <c r="B88" s="513"/>
      <c r="D88" s="667" t="s">
        <v>761</v>
      </c>
      <c r="E88" s="725" t="s">
        <v>921</v>
      </c>
      <c r="F88" s="662" t="s">
        <v>866</v>
      </c>
      <c r="G88" s="726"/>
      <c r="H88" s="1025"/>
      <c r="I88" s="726"/>
      <c r="J88" s="1025"/>
      <c r="K88" s="291"/>
      <c r="X88" s="760">
        <v>0</v>
      </c>
    </row>
    <row s="1637" customFormat="1" customHeight="1" ht="11.25" hidden="1">
      <c r="A89" s="2394"/>
      <c r="B89" s="513"/>
      <c r="D89" s="667" t="s">
        <v>803</v>
      </c>
      <c r="E89" s="725" t="s">
        <v>922</v>
      </c>
      <c r="F89" s="662" t="s">
        <v>866</v>
      </c>
      <c r="G89" s="726"/>
      <c r="H89" s="1025"/>
      <c r="I89" s="726"/>
      <c r="J89" s="1025"/>
      <c r="K89" s="291"/>
      <c r="X89" s="760">
        <v>0</v>
      </c>
    </row>
    <row s="1637" customFormat="1" customHeight="1" ht="11.25" hidden="1">
      <c r="A90" s="2394"/>
      <c r="B90" s="513"/>
      <c r="D90" s="667" t="s">
        <v>806</v>
      </c>
      <c r="E90" s="725" t="s">
        <v>923</v>
      </c>
      <c r="F90" s="662" t="s">
        <v>866</v>
      </c>
      <c r="G90" s="726"/>
      <c r="H90" s="1025"/>
      <c r="I90" s="726"/>
      <c r="J90" s="1025"/>
      <c r="K90" s="291"/>
      <c r="X90" s="760">
        <v>0</v>
      </c>
    </row>
    <row s="1637" customFormat="1" customHeight="1" ht="11.25" hidden="1">
      <c r="A91" s="2394"/>
      <c r="B91" s="513"/>
      <c r="D91" s="667" t="s">
        <v>884</v>
      </c>
      <c r="E91" s="725" t="s">
        <v>924</v>
      </c>
      <c r="F91" s="662" t="s">
        <v>866</v>
      </c>
      <c r="G91" s="726"/>
      <c r="H91" s="1025"/>
      <c r="I91" s="726"/>
      <c r="J91" s="1025"/>
      <c r="K91" s="291"/>
      <c r="X91" s="760">
        <v>0</v>
      </c>
    </row>
    <row s="1637" customFormat="1" customHeight="1" ht="11.25" hidden="1">
      <c r="A92" s="2394"/>
      <c r="B92" s="513"/>
      <c r="D92" s="667" t="s">
        <v>886</v>
      </c>
      <c r="E92" s="725" t="s">
        <v>926</v>
      </c>
      <c r="F92" s="662" t="s">
        <v>866</v>
      </c>
      <c r="G92" s="726"/>
      <c r="H92" s="1025"/>
      <c r="I92" s="726"/>
      <c r="J92" s="1025"/>
      <c r="K92" s="291"/>
      <c r="X92" s="760">
        <v>0</v>
      </c>
    </row>
    <row s="1637" customFormat="1" customHeight="1" ht="11.25" hidden="1">
      <c r="A93" s="2394"/>
      <c r="B93" s="513"/>
      <c r="D93" s="667" t="s">
        <v>933</v>
      </c>
      <c r="E93" s="725" t="s">
        <v>928</v>
      </c>
      <c r="F93" s="662" t="s">
        <v>866</v>
      </c>
      <c r="G93" s="726"/>
      <c r="H93" s="1025"/>
      <c r="I93" s="726"/>
      <c r="J93" s="1025"/>
      <c r="K93" s="291"/>
      <c r="X93" s="760">
        <v>0</v>
      </c>
    </row>
    <row s="1637" customFormat="1" customHeight="1" ht="11.25" hidden="1">
      <c r="A94" s="2394"/>
      <c r="B94" s="513"/>
      <c r="D94" s="667" t="s">
        <v>934</v>
      </c>
      <c r="E94" s="725" t="s">
        <v>930</v>
      </c>
      <c r="F94" s="662" t="s">
        <v>866</v>
      </c>
      <c r="G94" s="726"/>
      <c r="H94" s="1025"/>
      <c r="I94" s="726"/>
      <c r="J94" s="1025"/>
      <c r="K94" s="291"/>
      <c r="X94" s="760">
        <v>0</v>
      </c>
    </row>
    <row s="1637" customFormat="1" customHeight="1" ht="24.75" hidden="1">
      <c r="A95" s="2394"/>
      <c r="B95" s="513"/>
      <c r="D95" s="667" t="s">
        <v>113</v>
      </c>
      <c r="E95" s="668" t="s">
        <v>935</v>
      </c>
      <c r="F95" s="727" t="s">
        <v>566</v>
      </c>
      <c r="G95" s="729"/>
      <c r="H95" s="1025"/>
      <c r="I95" s="729"/>
      <c r="J95" s="1025"/>
      <c r="K95" s="291" t="s">
        <v>936</v>
      </c>
      <c r="X95" s="760">
        <v>0</v>
      </c>
    </row>
    <row s="1637" customFormat="1" customHeight="1" ht="33.75" hidden="1">
      <c r="A96" s="2394"/>
      <c r="B96" s="513"/>
      <c r="D96" s="667" t="s">
        <v>94</v>
      </c>
      <c r="E96" s="668" t="s">
        <v>937</v>
      </c>
      <c r="F96" s="728" t="s">
        <v>827</v>
      </c>
      <c r="G96" s="730"/>
      <c r="H96" s="1025"/>
      <c r="I96" s="730"/>
      <c r="J96" s="1025"/>
      <c r="K96" s="291"/>
      <c r="X96" s="760">
        <v>0</v>
      </c>
    </row>
    <row s="1637" customFormat="1" customHeight="1" ht="22.5" hidden="1">
      <c r="A97" s="2394"/>
      <c r="B97" s="513" t="s">
        <v>596</v>
      </c>
      <c r="D97" s="667" t="s">
        <v>95</v>
      </c>
      <c r="E97" s="668" t="s">
        <v>938</v>
      </c>
      <c r="F97" s="728" t="s">
        <v>315</v>
      </c>
      <c r="G97" s="387"/>
      <c r="H97" s="1025"/>
      <c r="I97" s="387"/>
      <c r="J97" s="1025"/>
      <c r="K97" s="291" t="s">
        <v>639</v>
      </c>
      <c r="X97" s="760">
        <v>0</v>
      </c>
    </row>
    <row s="1637" customFormat="1" customHeight="1" ht="45" hidden="1">
      <c r="A98" s="2394"/>
      <c r="B98" s="513" t="s">
        <v>596</v>
      </c>
      <c r="D98" s="667" t="s">
        <v>939</v>
      </c>
      <c r="E98" s="669" t="s">
        <v>940</v>
      </c>
      <c r="F98" s="723" t="s">
        <v>315</v>
      </c>
      <c r="G98" s="387"/>
      <c r="H98" s="1025"/>
      <c r="I98" s="387"/>
      <c r="J98" s="1025"/>
      <c r="K98" s="291" t="s">
        <v>639</v>
      </c>
      <c r="X98" s="760">
        <v>0</v>
      </c>
    </row>
    <row s="1637" customFormat="1" customHeight="1" ht="95.25" hidden="1">
      <c r="A99" s="2394"/>
      <c r="B99" s="513" t="s">
        <v>596</v>
      </c>
      <c r="D99" s="667" t="s">
        <v>114</v>
      </c>
      <c r="E99" s="668" t="s">
        <v>941</v>
      </c>
      <c r="F99" s="723" t="s">
        <v>315</v>
      </c>
      <c r="G99" s="387"/>
      <c r="H99" s="1025"/>
      <c r="I99" s="387"/>
      <c r="J99" s="1025"/>
      <c r="K99" s="291" t="s">
        <v>639</v>
      </c>
      <c r="X99" s="760">
        <v>0</v>
      </c>
    </row>
    <row s="1637" customFormat="1" customHeight="1" ht="22.5" hidden="1">
      <c r="A100" s="2394"/>
      <c r="B100" s="513" t="s">
        <v>596</v>
      </c>
      <c r="D100" s="667" t="s">
        <v>150</v>
      </c>
      <c r="E100" s="668" t="s">
        <v>942</v>
      </c>
      <c r="F100" s="723" t="s">
        <v>315</v>
      </c>
      <c r="G100" s="387"/>
      <c r="H100" s="1025"/>
      <c r="I100" s="387"/>
      <c r="J100" s="1025"/>
      <c r="K100" s="291" t="s">
        <v>639</v>
      </c>
      <c r="X100" s="760">
        <v>0</v>
      </c>
    </row>
    <row s="1637" customFormat="1" customHeight="1" ht="11.25">
      <c r="A101" s="1035"/>
      <c r="B101" s="520"/>
      <c r="D101" s="1036"/>
      <c r="E101" s="1037"/>
      <c r="X101" s="511">
        <v>11</v>
      </c>
    </row>
    <row customHeight="1" ht="22.5" hidden="1">
      <c r="A102" s="538" t="s">
        <v>84</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8F7E0E-0E9F-38EA-D3B7-0.601F6B19}"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454</v>
      </c>
      <c r="D3" s="691" t="str">
        <f>B3&amp;".1"</f>
        <v>.1</v>
      </c>
      <c r="E3" s="692" t="s">
        <v>943</v>
      </c>
      <c r="F3" s="693" t="s">
        <v>315</v>
      </c>
      <c r="G3" s="688"/>
      <c r="H3" s="403"/>
      <c r="I3" s="688"/>
      <c r="J3" s="403"/>
      <c r="K3" s="291" t="s">
        <v>944</v>
      </c>
      <c r="V3" s="507">
        <v>0</v>
      </c>
    </row>
    <row customHeight="1" ht="15" hidden="1">
      <c r="A4" s="507"/>
      <c r="B4" s="2399"/>
      <c r="C4" s="2400"/>
      <c r="D4" s="691" t="str">
        <f>B3&amp;".2"</f>
        <v>.2</v>
      </c>
      <c r="E4" s="692" t="s">
        <v>945</v>
      </c>
      <c r="F4" s="693" t="s">
        <v>315</v>
      </c>
      <c r="G4" s="1740" t="s">
        <v>28</v>
      </c>
      <c r="H4" s="403"/>
      <c r="I4" s="1740" t="s">
        <v>28</v>
      </c>
      <c r="J4" s="403"/>
      <c r="K4" s="291" t="s">
        <v>946</v>
      </c>
      <c r="V4" s="507">
        <v>0</v>
      </c>
    </row>
    <row s="1368" customFormat="1" customHeight="1" ht="15" hidden="1">
      <c r="C5" s="674"/>
      <c r="U5" s="422"/>
      <c r="V5" s="419">
        <v>0</v>
      </c>
    </row>
    <row customHeight="1" ht="22.5" hidden="1">
      <c r="A6" s="507"/>
      <c r="B6" s="2399"/>
      <c r="C6" s="2400" t="s">
        <v>454</v>
      </c>
      <c r="D6" s="691" t="str">
        <f>B6&amp;".1"</f>
        <v>.1</v>
      </c>
      <c r="E6" s="692" t="s">
        <v>947</v>
      </c>
      <c r="F6" s="693" t="s">
        <v>315</v>
      </c>
      <c r="G6" s="688"/>
      <c r="H6" s="403"/>
      <c r="I6" s="688"/>
      <c r="J6" s="403"/>
      <c r="K6" s="291" t="s">
        <v>948</v>
      </c>
      <c r="V6" s="507">
        <v>0</v>
      </c>
    </row>
    <row customHeight="1" ht="15" hidden="1">
      <c r="A7" s="507"/>
      <c r="B7" s="2399"/>
      <c r="C7" s="2400"/>
      <c r="D7" s="691" t="str">
        <f>B6&amp;".2"</f>
        <v>.2</v>
      </c>
      <c r="E7" s="692" t="s">
        <v>945</v>
      </c>
      <c r="F7" s="693" t="s">
        <v>315</v>
      </c>
      <c r="G7" s="1740" t="s">
        <v>28</v>
      </c>
      <c r="H7" s="403"/>
      <c r="I7" s="1740" t="s">
        <v>28</v>
      </c>
      <c r="J7" s="403"/>
      <c r="K7" s="291" t="s">
        <v>946</v>
      </c>
      <c r="V7" s="507">
        <v>0</v>
      </c>
    </row>
    <row s="1368" customFormat="1" customHeight="1" ht="15" hidden="1">
      <c r="C8" s="674"/>
      <c r="U8" s="422"/>
      <c r="V8" s="419">
        <v>0</v>
      </c>
    </row>
    <row customHeight="1" ht="22.5" hidden="1">
      <c r="A9" s="507"/>
      <c r="B9" s="2399"/>
      <c r="C9" s="2400" t="s">
        <v>454</v>
      </c>
      <c r="D9" s="691" t="str">
        <f>B9&amp;".1"</f>
        <v>.1</v>
      </c>
      <c r="E9" s="692" t="s">
        <v>949</v>
      </c>
      <c r="F9" s="693" t="s">
        <v>315</v>
      </c>
      <c r="G9" s="699" t="s">
        <v>28</v>
      </c>
      <c r="H9" s="403" t="s">
        <v>28</v>
      </c>
      <c r="I9" s="699" t="s">
        <v>28</v>
      </c>
      <c r="J9" s="403" t="s">
        <v>28</v>
      </c>
      <c r="K9" s="291"/>
      <c r="V9" s="507">
        <v>0</v>
      </c>
    </row>
    <row customHeight="1" ht="15" hidden="1">
      <c r="A10" s="507"/>
      <c r="B10" s="2399"/>
      <c r="C10" s="2400"/>
      <c r="D10" s="691" t="str">
        <f>B9&amp;".2"</f>
        <v>.2</v>
      </c>
      <c r="E10" s="692" t="s">
        <v>950</v>
      </c>
      <c r="F10" s="693" t="s">
        <v>315</v>
      </c>
      <c r="G10" s="1734" t="s">
        <v>28</v>
      </c>
      <c r="H10" s="403" t="s">
        <v>28</v>
      </c>
      <c r="I10" s="1734" t="s">
        <v>28</v>
      </c>
      <c r="J10" s="403" t="s">
        <v>28</v>
      </c>
      <c r="K10" s="291" t="s">
        <v>951</v>
      </c>
      <c r="V10" s="507">
        <v>0</v>
      </c>
    </row>
    <row customHeight="1" ht="15" hidden="1">
      <c r="A11" s="507"/>
      <c r="B11" s="2399"/>
      <c r="C11" s="2400"/>
      <c r="D11" s="691" t="str">
        <f>B9&amp;".3"</f>
        <v>.3</v>
      </c>
      <c r="E11" s="692" t="s">
        <v>952</v>
      </c>
      <c r="F11" s="693" t="s">
        <v>315</v>
      </c>
      <c r="G11" s="1734" t="s">
        <v>28</v>
      </c>
      <c r="H11" s="403" t="s">
        <v>28</v>
      </c>
      <c r="I11" s="1734" t="s">
        <v>28</v>
      </c>
      <c r="J11" s="403" t="s">
        <v>28</v>
      </c>
      <c r="K11" s="291" t="s">
        <v>953</v>
      </c>
      <c r="V11" s="507">
        <v>0</v>
      </c>
    </row>
    <row s="1368" customFormat="1" customHeight="1" ht="15" hidden="1">
      <c r="C12" s="674"/>
      <c r="U12" s="422"/>
      <c r="V12" s="419">
        <v>0</v>
      </c>
    </row>
    <row customHeight="1" ht="33.75" hidden="1">
      <c r="A13" s="507"/>
      <c r="B13" s="2399"/>
      <c r="C13" s="2400" t="s">
        <v>454</v>
      </c>
      <c r="D13" s="691" t="str">
        <f>B13&amp;".1"</f>
        <v>.1</v>
      </c>
      <c r="E13" s="692" t="s">
        <v>954</v>
      </c>
      <c r="F13" s="693" t="s">
        <v>315</v>
      </c>
      <c r="G13" s="699" t="s">
        <v>28</v>
      </c>
      <c r="H13" s="403" t="s">
        <v>28</v>
      </c>
      <c r="I13" s="699" t="s">
        <v>28</v>
      </c>
      <c r="J13" s="403" t="s">
        <v>28</v>
      </c>
      <c r="K13" s="291" t="s">
        <v>955</v>
      </c>
      <c r="V13" s="507">
        <v>0</v>
      </c>
    </row>
    <row customHeight="1" ht="15" hidden="1">
      <c r="B14" s="2399"/>
      <c r="C14" s="2400"/>
      <c r="D14" s="691" t="str">
        <f>B13&amp;".2"</f>
        <v>.2</v>
      </c>
      <c r="E14" s="692" t="s">
        <v>956</v>
      </c>
      <c r="F14" s="693" t="s">
        <v>315</v>
      </c>
      <c r="G14" s="1734" t="s">
        <v>28</v>
      </c>
      <c r="H14" s="403" t="s">
        <v>28</v>
      </c>
      <c r="I14" s="1734" t="s">
        <v>28</v>
      </c>
      <c r="J14" s="403" t="s">
        <v>28</v>
      </c>
      <c r="K14" s="291" t="s">
        <v>957</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119</v>
      </c>
      <c r="J25" s="754"/>
      <c r="K25" s="419"/>
      <c r="U25" s="677"/>
      <c r="V25" s="760">
        <v>1</v>
      </c>
    </row>
    <row customHeight="1" ht="15.75">
      <c r="C26" s="178"/>
      <c r="D26" s="713"/>
      <c r="E26" s="2369" t="s">
        <v>107</v>
      </c>
      <c r="F26" s="2370"/>
      <c r="G26" s="2397" t="str">
        <f>IF(G25="","",INDEX(DIFFERENTIATION_UNMERGE_VD,MATCH(G25,DIFFERENTIATION_ID_DIFF,0)))</f>
        <v/>
      </c>
      <c r="H26" s="2398"/>
      <c r="I26" s="2397">
        <f>IF(I25="","",INDEX(DIFFERENTIATION_UNMERGE_VD,MATCH(I25,DIFFERENTIATION_ID_DIFF,0)))</f>
        <v>0</v>
      </c>
      <c r="J26" s="2398"/>
      <c r="K26" s="2177" t="s">
        <v>310</v>
      </c>
      <c r="V26" s="507">
        <v>15</v>
      </c>
    </row>
    <row s="1637" customFormat="1" customHeight="1" ht="15.75">
      <c r="A27" s="761"/>
      <c r="C27" s="178"/>
      <c r="D27" s="713"/>
      <c r="E27" s="2369" t="s">
        <v>572</v>
      </c>
      <c r="F27" s="2370"/>
      <c r="G27" s="2397" t="str">
        <f>IF(G25="","",INDEX(DIFFERENTIATION_UNMERGE_AREA,MATCH(G25,DIFFERENTIATION_ID_DIFF,0)))</f>
        <v/>
      </c>
      <c r="H27" s="2398"/>
      <c r="I27" s="2397" t="str">
        <f>IF(I25="","",INDEX(DIFFERENTIATION_UNMERGE_AREA,MATCH(I25,DIFFERENTIATION_ID_DIFF,0)))</f>
        <v/>
      </c>
      <c r="J27" s="2398"/>
      <c r="K27" s="2197"/>
      <c r="U27" s="677"/>
      <c r="V27" s="760">
        <v>15</v>
      </c>
    </row>
    <row s="1637" customFormat="1" customHeight="1" ht="15.75">
      <c r="A28" s="761"/>
      <c r="C28" s="178"/>
      <c r="D28" s="713"/>
      <c r="E28" s="2369" t="s">
        <v>573</v>
      </c>
      <c r="F28" s="2370"/>
      <c r="G28" s="2397" t="str">
        <f>IF(G25="","",INDEX(DIFFERENTIATION_UNMERGE_SYSTEM,MATCH(G25,DIFFERENTIATION_ID_DIFF,0)))</f>
        <v/>
      </c>
      <c r="H28" s="2398"/>
      <c r="I28" s="2397" t="str">
        <f>IF(I25="","",INDEX(DIFFERENTIATION_UNMERGE_SYSTEM,MATCH(I25,DIFFERENTIATION_ID_DIFF,0)))</f>
        <v>без дифференциации</v>
      </c>
      <c r="J28" s="2398"/>
      <c r="K28" s="2197"/>
      <c r="U28" s="677"/>
      <c r="V28" s="760">
        <v>15</v>
      </c>
    </row>
    <row s="1637" customFormat="1" customHeight="1" ht="15.75">
      <c r="A29" s="761"/>
      <c r="C29" s="178"/>
      <c r="D29" s="2371" t="s">
        <v>309</v>
      </c>
      <c r="E29" s="2372"/>
      <c r="F29" s="2372"/>
      <c r="G29" s="889"/>
      <c r="H29" s="889"/>
      <c r="I29" s="889"/>
      <c r="J29" s="890"/>
      <c r="K29" s="2197"/>
      <c r="U29" s="677"/>
      <c r="V29" s="760">
        <v>15</v>
      </c>
    </row>
    <row customHeight="1" ht="36">
      <c r="C30" s="178"/>
      <c r="D30" s="763" t="s">
        <v>90</v>
      </c>
      <c r="E30" s="762" t="s">
        <v>311</v>
      </c>
      <c r="F30" s="762" t="s">
        <v>574</v>
      </c>
      <c r="G30" s="810" t="s">
        <v>312</v>
      </c>
      <c r="H30" s="809" t="s">
        <v>399</v>
      </c>
      <c r="I30" s="686" t="s">
        <v>312</v>
      </c>
      <c r="J30" s="467" t="s">
        <v>399</v>
      </c>
      <c r="K30" s="2203"/>
      <c r="V30" s="507">
        <v>34</v>
      </c>
    </row>
    <row customHeight="1" ht="15" hidden="1">
      <c r="C31" s="178"/>
      <c r="D31" s="595"/>
      <c r="E31" s="595"/>
      <c r="F31" s="595"/>
      <c r="G31" s="661"/>
      <c r="H31" s="661"/>
      <c r="I31" s="661"/>
      <c r="J31" s="661"/>
      <c r="K31" s="291"/>
      <c r="V31" s="507">
        <v>0</v>
      </c>
    </row>
    <row customHeight="1" ht="24">
      <c r="A32" s="507"/>
      <c r="B32" s="507" t="s">
        <v>958</v>
      </c>
      <c r="C32" s="528"/>
      <c r="D32" s="694">
        <v>1</v>
      </c>
      <c r="E32" s="695" t="s">
        <v>959</v>
      </c>
      <c r="F32" s="693" t="s">
        <v>315</v>
      </c>
      <c r="G32" s="815" t="s">
        <v>315</v>
      </c>
      <c r="H32" s="815" t="s">
        <v>315</v>
      </c>
      <c r="I32" s="693" t="s">
        <v>315</v>
      </c>
      <c r="J32" s="693" t="s">
        <v>315</v>
      </c>
      <c r="K32" s="291"/>
      <c r="V32" s="507">
        <v>23</v>
      </c>
    </row>
    <row customHeight="1" ht="11.25">
      <c r="A33" s="507"/>
      <c r="C33" s="507"/>
      <c r="D33" s="349"/>
      <c r="E33" s="582" t="s">
        <v>594</v>
      </c>
      <c r="F33" s="574"/>
      <c r="G33" s="574"/>
      <c r="H33" s="574"/>
      <c r="I33" s="574"/>
      <c r="J33" s="574"/>
      <c r="K33" s="575"/>
      <c r="U33" s="507"/>
      <c r="V33" s="507">
        <v>11</v>
      </c>
    </row>
    <row customHeight="1" ht="24">
      <c r="A34" s="507"/>
      <c r="B34" s="583" t="s">
        <v>644</v>
      </c>
      <c r="C34" s="528"/>
      <c r="D34" s="694">
        <v>2</v>
      </c>
      <c r="E34" s="695" t="s">
        <v>960</v>
      </c>
      <c r="F34" s="822" t="s">
        <v>315</v>
      </c>
      <c r="G34" s="822" t="s">
        <v>315</v>
      </c>
      <c r="H34" s="822" t="s">
        <v>315</v>
      </c>
      <c r="I34" s="693"/>
      <c r="J34" s="693"/>
      <c r="K34" s="291"/>
      <c r="V34" s="507">
        <v>23</v>
      </c>
    </row>
    <row customHeight="1" ht="11.25">
      <c r="A35" s="507"/>
      <c r="C35" s="507"/>
      <c r="D35" s="349"/>
      <c r="E35" s="582" t="s">
        <v>961</v>
      </c>
      <c r="F35" s="574"/>
      <c r="G35" s="696"/>
      <c r="H35" s="574"/>
      <c r="I35" s="696"/>
      <c r="J35" s="574"/>
      <c r="K35" s="575"/>
      <c r="U35" s="507"/>
      <c r="V35" s="507">
        <v>11</v>
      </c>
    </row>
    <row customHeight="1" ht="71.25">
      <c r="A36" s="507"/>
      <c r="B36" s="507" t="s">
        <v>962</v>
      </c>
      <c r="C36" s="528"/>
      <c r="D36" s="694">
        <v>3</v>
      </c>
      <c r="E36" s="695" t="s">
        <v>963</v>
      </c>
      <c r="F36" s="697" t="s">
        <v>315</v>
      </c>
      <c r="G36" s="816" t="s">
        <v>964</v>
      </c>
      <c r="H36" s="815" t="s">
        <v>315</v>
      </c>
      <c r="I36" s="526" t="s">
        <v>964</v>
      </c>
      <c r="J36" s="693" t="s">
        <v>315</v>
      </c>
      <c r="K36" s="291" t="s">
        <v>965</v>
      </c>
      <c r="V36" s="507">
        <v>68</v>
      </c>
    </row>
    <row customHeight="1" ht="11.25">
      <c r="A37" s="507"/>
      <c r="C37" s="507"/>
      <c r="D37" s="349"/>
      <c r="E37" s="582" t="s">
        <v>966</v>
      </c>
      <c r="F37" s="574"/>
      <c r="G37" s="696"/>
      <c r="H37" s="696"/>
      <c r="I37" s="696"/>
      <c r="J37" s="696"/>
      <c r="K37" s="575"/>
      <c r="U37" s="507"/>
      <c r="V37" s="507">
        <v>11</v>
      </c>
    </row>
    <row customHeight="1" ht="71.25">
      <c r="A38" s="507"/>
      <c r="B38" s="507" t="s">
        <v>967</v>
      </c>
      <c r="C38" s="528"/>
      <c r="D38" s="694">
        <v>4</v>
      </c>
      <c r="E38" s="695" t="s">
        <v>968</v>
      </c>
      <c r="F38" s="697" t="s">
        <v>315</v>
      </c>
      <c r="G38" s="816" t="s">
        <v>964</v>
      </c>
      <c r="H38" s="817" t="s">
        <v>315</v>
      </c>
      <c r="I38" s="526" t="s">
        <v>964</v>
      </c>
      <c r="J38" s="523" t="s">
        <v>315</v>
      </c>
      <c r="K38" s="681" t="s">
        <v>969</v>
      </c>
      <c r="V38" s="507">
        <v>68</v>
      </c>
    </row>
    <row customHeight="1" ht="11.25">
      <c r="A39" s="507"/>
      <c r="C39" s="507"/>
      <c r="D39" s="349"/>
      <c r="E39" s="582" t="s">
        <v>970</v>
      </c>
      <c r="F39" s="574"/>
      <c r="G39" s="574"/>
      <c r="H39" s="698"/>
      <c r="I39" s="574"/>
      <c r="J39" s="698"/>
      <c r="K39" s="575"/>
      <c r="U39" s="507"/>
      <c r="V39" s="507">
        <v>11</v>
      </c>
    </row>
    <row customHeight="1" ht="22.5" hidden="1">
      <c r="A40" s="451" t="s">
        <v>84</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A65016-6D5A-0474-6EF9-0.B32D9D3B}"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971</v>
      </c>
      <c r="H3" s="1158"/>
      <c r="AE3" s="761">
        <v>0</v>
      </c>
    </row>
    <row customHeight="1" ht="3">
      <c r="AE4" s="760">
        <v>3</v>
      </c>
    </row>
    <row customHeight="1" ht="27">
      <c r="F5" s="225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309</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90</v>
      </c>
      <c r="G9" s="2129" t="s">
        <v>971</v>
      </c>
      <c r="H9" s="2177" t="s">
        <v>972</v>
      </c>
      <c r="I9" s="2129" t="s">
        <v>973</v>
      </c>
      <c r="J9" s="2129" t="s">
        <v>974</v>
      </c>
      <c r="K9" s="2129" t="s">
        <v>975</v>
      </c>
      <c r="L9" s="2129" t="s">
        <v>976</v>
      </c>
      <c r="M9" s="2129" t="s">
        <v>977</v>
      </c>
      <c r="N9" s="2211" t="s">
        <v>978</v>
      </c>
      <c r="O9" s="2211"/>
      <c r="P9" s="2211"/>
      <c r="Q9" s="2401" t="s">
        <v>979</v>
      </c>
      <c r="R9" s="2402"/>
      <c r="S9" s="2402"/>
      <c r="T9" s="2403"/>
      <c r="U9" s="2401" t="s">
        <v>980</v>
      </c>
      <c r="V9" s="2402"/>
      <c r="W9" s="2402"/>
      <c r="X9" s="2403"/>
      <c r="Y9" s="2103" t="s">
        <v>981</v>
      </c>
      <c r="Z9" s="2104"/>
      <c r="AA9" s="2104"/>
      <c r="AB9" s="2105"/>
      <c r="AE9" s="760">
        <v>41</v>
      </c>
    </row>
    <row customHeight="1" ht="42.75">
      <c r="A10" s="907"/>
      <c r="B10" s="907"/>
      <c r="C10" s="907"/>
      <c r="F10" s="2177"/>
      <c r="G10" s="2177"/>
      <c r="H10" s="2234"/>
      <c r="I10" s="2177"/>
      <c r="J10" s="2177"/>
      <c r="K10" s="2177"/>
      <c r="L10" s="2177"/>
      <c r="M10" s="2177"/>
      <c r="N10" s="905" t="s">
        <v>982</v>
      </c>
      <c r="O10" s="905" t="s">
        <v>983</v>
      </c>
      <c r="P10" s="906" t="s">
        <v>984</v>
      </c>
      <c r="Q10" s="917" t="s">
        <v>91</v>
      </c>
      <c r="R10" s="917" t="s">
        <v>985</v>
      </c>
      <c r="S10" s="917" t="s">
        <v>986</v>
      </c>
      <c r="T10" s="918" t="s">
        <v>987</v>
      </c>
      <c r="U10" s="917" t="s">
        <v>91</v>
      </c>
      <c r="V10" s="917" t="s">
        <v>988</v>
      </c>
      <c r="W10" s="917" t="s">
        <v>986</v>
      </c>
      <c r="X10" s="918" t="s">
        <v>987</v>
      </c>
      <c r="Y10" s="303" t="s">
        <v>989</v>
      </c>
      <c r="Z10" s="2103" t="s">
        <v>90</v>
      </c>
      <c r="AA10" s="2105"/>
      <c r="AB10" s="1051" t="s">
        <v>990</v>
      </c>
      <c r="AE10" s="760">
        <v>41</v>
      </c>
    </row>
    <row s="1644" customFormat="1" customHeight="1" ht="5.25" hidden="1">
      <c r="A11" s="1054"/>
      <c r="B11" s="1054"/>
      <c r="C11" s="1054"/>
      <c r="E11" s="1052"/>
      <c r="F11" s="2408" t="s">
        <v>385</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991</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992</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84</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771DFB-1C6E-85D2-C7E7-0.A54FF11E}"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309</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993</v>
      </c>
      <c r="G9" s="2411" t="s">
        <v>994</v>
      </c>
      <c r="H9" s="2412"/>
      <c r="I9" s="2129" t="s">
        <v>995</v>
      </c>
      <c r="J9" s="2129"/>
      <c r="K9" s="2129" t="s">
        <v>996</v>
      </c>
      <c r="L9" s="2129"/>
      <c r="M9" s="2129"/>
      <c r="N9" s="2129"/>
      <c r="O9" s="2129"/>
      <c r="P9" s="2129"/>
      <c r="Q9" s="2129"/>
      <c r="R9" s="2129"/>
      <c r="S9" s="2129"/>
      <c r="T9" s="2129"/>
      <c r="U9" s="2129"/>
      <c r="V9" s="2129"/>
      <c r="W9" s="2129"/>
      <c r="X9" s="2129"/>
      <c r="Y9" s="2129"/>
      <c r="Z9" s="2194" t="s">
        <v>997</v>
      </c>
      <c r="AA9" s="2195"/>
      <c r="AB9" s="2129" t="s">
        <v>998</v>
      </c>
      <c r="AC9" s="2129"/>
      <c r="AD9" s="2129"/>
      <c r="AE9" s="2129"/>
      <c r="AF9" s="2177" t="s">
        <v>999</v>
      </c>
      <c r="AG9" s="2129" t="s">
        <v>1000</v>
      </c>
      <c r="AH9" s="2129"/>
      <c r="AI9" s="2177" t="s">
        <v>1001</v>
      </c>
      <c r="AJ9" s="2129" t="s">
        <v>1002</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1003</v>
      </c>
      <c r="L10" s="2103" t="s">
        <v>1004</v>
      </c>
      <c r="M10" s="2105"/>
      <c r="N10" s="2129" t="s">
        <v>1005</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1006</v>
      </c>
      <c r="M11" s="2177" t="s">
        <v>1007</v>
      </c>
      <c r="N11" s="2129" t="s">
        <v>1008</v>
      </c>
      <c r="O11" s="2129"/>
      <c r="P11" s="2420" t="s">
        <v>989</v>
      </c>
      <c r="Q11" s="2420" t="s">
        <v>1009</v>
      </c>
      <c r="R11" s="2420" t="s">
        <v>1010</v>
      </c>
      <c r="S11" s="2420" t="s">
        <v>1011</v>
      </c>
      <c r="T11" s="2420"/>
      <c r="U11" s="2420"/>
      <c r="V11" s="2420"/>
      <c r="W11" s="2420"/>
      <c r="X11" s="2420"/>
      <c r="Y11" s="2420"/>
      <c r="Z11" s="2196"/>
      <c r="AA11" s="2197"/>
      <c r="AB11" s="2129" t="s">
        <v>1012</v>
      </c>
      <c r="AC11" s="2129"/>
      <c r="AD11" s="2103" t="s">
        <v>1013</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91</v>
      </c>
      <c r="J12" s="1155" t="s">
        <v>1014</v>
      </c>
      <c r="K12" s="2129"/>
      <c r="L12" s="2234"/>
      <c r="M12" s="2234"/>
      <c r="N12" s="2129"/>
      <c r="O12" s="2129"/>
      <c r="P12" s="2420"/>
      <c r="Q12" s="2420"/>
      <c r="R12" s="2420"/>
      <c r="S12" s="1136" t="s">
        <v>88</v>
      </c>
      <c r="T12" s="1136" t="s">
        <v>89</v>
      </c>
      <c r="U12" s="1136" t="s">
        <v>87</v>
      </c>
      <c r="V12" s="1136" t="s">
        <v>1015</v>
      </c>
      <c r="W12" s="1136" t="s">
        <v>87</v>
      </c>
      <c r="X12" s="1136" t="s">
        <v>1016</v>
      </c>
      <c r="Y12" s="1136" t="s">
        <v>1017</v>
      </c>
      <c r="Z12" s="2202"/>
      <c r="AA12" s="2203"/>
      <c r="AB12" s="1143" t="s">
        <v>1018</v>
      </c>
      <c r="AC12" s="1143" t="s">
        <v>1019</v>
      </c>
      <c r="AD12" s="1143" t="s">
        <v>1018</v>
      </c>
      <c r="AE12" s="1143" t="s">
        <v>1019</v>
      </c>
      <c r="AF12" s="2234"/>
      <c r="AG12" s="1156" t="s">
        <v>1020</v>
      </c>
      <c r="AH12" s="1156" t="s">
        <v>1021</v>
      </c>
      <c r="AI12" s="2234"/>
      <c r="AJ12" s="1156" t="s">
        <v>1020</v>
      </c>
      <c r="AK12" s="1156" t="s">
        <v>1021</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1022</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84</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CC6073-34B4-05D4-9B96-0.5E17706B}"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309</v>
      </c>
      <c r="G9" s="2422"/>
      <c r="H9" s="2422"/>
      <c r="I9" s="2422"/>
      <c r="J9" s="2422"/>
      <c r="K9" s="1242"/>
      <c r="L9" s="1159"/>
      <c r="M9" s="1159"/>
      <c r="N9" s="1159"/>
      <c r="O9" s="1159"/>
      <c r="P9" s="1159"/>
      <c r="Q9" s="1159"/>
      <c r="R9" s="1159"/>
      <c r="S9" s="1159"/>
      <c r="T9" s="1159"/>
      <c r="U9" s="1159"/>
      <c r="V9" s="1159"/>
      <c r="W9" s="1157">
        <v>10</v>
      </c>
    </row>
    <row customHeight="1" ht="25.5">
      <c r="E10" s="1159"/>
      <c r="F10" s="2425" t="s">
        <v>90</v>
      </c>
      <c r="G10" s="2430" t="s">
        <v>1023</v>
      </c>
      <c r="H10" s="2428" t="s">
        <v>1024</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1025</v>
      </c>
      <c r="I12" s="1234"/>
      <c r="J12" s="1228"/>
      <c r="K12" s="1236"/>
      <c r="W12" s="1157">
        <v>10</v>
      </c>
    </row>
    <row customHeight="1" ht="10.5" hidden="1">
      <c r="F13" s="1228">
        <v>1</v>
      </c>
      <c r="G13" s="1228">
        <v>2</v>
      </c>
      <c r="H13" s="1228">
        <v>3</v>
      </c>
      <c r="I13" s="1228">
        <v>4</v>
      </c>
      <c r="J13" s="1228">
        <v>5</v>
      </c>
      <c r="K13" s="1236"/>
      <c r="W13" s="1157">
        <v>0</v>
      </c>
    </row>
    <row customHeight="1" ht="11.25">
      <c r="F14" s="1227" t="s">
        <v>1026</v>
      </c>
      <c r="G14" s="2423" t="s">
        <v>1027</v>
      </c>
      <c r="H14" s="2423"/>
      <c r="I14" s="2423"/>
      <c r="J14" s="2423"/>
      <c r="K14" s="1236"/>
      <c r="W14" s="1157">
        <v>11</v>
      </c>
    </row>
    <row customHeight="1" ht="11.25">
      <c r="F15" s="1232">
        <v>1</v>
      </c>
      <c r="G15" s="692" t="s">
        <v>1028</v>
      </c>
      <c r="H15" s="1238">
        <f>SUM(I15:J15)</f>
        <v>0</v>
      </c>
      <c r="I15" s="1238">
        <f>SUM(I16:I27)</f>
        <v>0</v>
      </c>
      <c r="J15" s="1227"/>
      <c r="K15" s="1236"/>
      <c r="W15" s="1157">
        <v>11</v>
      </c>
    </row>
    <row customHeight="1" ht="24">
      <c r="F16" s="1232" t="s">
        <v>1029</v>
      </c>
      <c r="G16" s="1239" t="s">
        <v>1030</v>
      </c>
      <c r="H16" s="1238">
        <f>SUM(I16:J16)</f>
        <v>0</v>
      </c>
      <c r="I16" s="1237"/>
      <c r="J16" s="1227"/>
      <c r="K16" s="1236"/>
      <c r="W16" s="1157">
        <v>23</v>
      </c>
    </row>
    <row customHeight="1" ht="24">
      <c r="F17" s="1232" t="s">
        <v>1031</v>
      </c>
      <c r="G17" s="1239" t="s">
        <v>1032</v>
      </c>
      <c r="H17" s="1238">
        <f>SUM(I17:J17)</f>
        <v>0</v>
      </c>
      <c r="I17" s="1237"/>
      <c r="J17" s="1227"/>
      <c r="K17" s="1236"/>
      <c r="W17" s="1157">
        <v>23</v>
      </c>
    </row>
    <row customHeight="1" ht="36">
      <c r="F18" s="1232" t="s">
        <v>1033</v>
      </c>
      <c r="G18" s="1239" t="s">
        <v>1034</v>
      </c>
      <c r="H18" s="1238">
        <f>SUM(I18:J18)</f>
        <v>0</v>
      </c>
      <c r="I18" s="1237"/>
      <c r="J18" s="1227"/>
      <c r="K18" s="1236"/>
      <c r="W18" s="1157">
        <v>34</v>
      </c>
    </row>
    <row customHeight="1" ht="36">
      <c r="F19" s="1232" t="s">
        <v>1035</v>
      </c>
      <c r="G19" s="1239" t="s">
        <v>1036</v>
      </c>
      <c r="H19" s="1238">
        <f>SUM(I19:J19)</f>
        <v>0</v>
      </c>
      <c r="I19" s="1237"/>
      <c r="J19" s="1227"/>
      <c r="K19" s="1236"/>
      <c r="W19" s="1157">
        <v>34</v>
      </c>
    </row>
    <row customHeight="1" ht="48">
      <c r="F20" s="1232" t="s">
        <v>1037</v>
      </c>
      <c r="G20" s="1239" t="s">
        <v>1038</v>
      </c>
      <c r="H20" s="1238">
        <f>SUM(I20:J20)</f>
        <v>0</v>
      </c>
      <c r="I20" s="1237"/>
      <c r="J20" s="1227"/>
      <c r="K20" s="1236"/>
      <c r="W20" s="1157">
        <v>46</v>
      </c>
    </row>
    <row customHeight="1" ht="36">
      <c r="F21" s="1232" t="s">
        <v>1039</v>
      </c>
      <c r="G21" s="1239" t="s">
        <v>1040</v>
      </c>
      <c r="H21" s="1238">
        <f>SUM(I21:J21)</f>
        <v>0</v>
      </c>
      <c r="I21" s="1237"/>
      <c r="J21" s="1227"/>
      <c r="K21" s="1236"/>
      <c r="W21" s="1157">
        <v>34</v>
      </c>
    </row>
    <row customHeight="1" ht="36">
      <c r="F22" s="1232" t="s">
        <v>1041</v>
      </c>
      <c r="G22" s="1239" t="s">
        <v>1042</v>
      </c>
      <c r="H22" s="1238">
        <f>SUM(I22:J22)</f>
        <v>0</v>
      </c>
      <c r="I22" s="1237"/>
      <c r="J22" s="1227"/>
      <c r="K22" s="1236"/>
      <c r="W22" s="1157">
        <v>34</v>
      </c>
    </row>
    <row customHeight="1" ht="24">
      <c r="F23" s="1232" t="s">
        <v>1043</v>
      </c>
      <c r="G23" s="1239" t="s">
        <v>1044</v>
      </c>
      <c r="H23" s="1238">
        <f>SUM(I23:J23)</f>
        <v>0</v>
      </c>
      <c r="I23" s="1237"/>
      <c r="J23" s="1227"/>
      <c r="K23" s="1236"/>
      <c r="W23" s="1157">
        <v>23</v>
      </c>
    </row>
    <row customHeight="1" ht="24">
      <c r="F24" s="1232" t="s">
        <v>1045</v>
      </c>
      <c r="G24" s="1239" t="s">
        <v>1046</v>
      </c>
      <c r="H24" s="1238">
        <f>SUM(I24:J24)</f>
        <v>0</v>
      </c>
      <c r="I24" s="1237"/>
      <c r="J24" s="1227"/>
      <c r="K24" s="1236"/>
      <c r="W24" s="1157">
        <v>23</v>
      </c>
    </row>
    <row customHeight="1" ht="36">
      <c r="F25" s="1232" t="s">
        <v>1047</v>
      </c>
      <c r="G25" s="1239" t="s">
        <v>1048</v>
      </c>
      <c r="H25" s="1238">
        <f>SUM(I25:J25)</f>
        <v>0</v>
      </c>
      <c r="I25" s="1237"/>
      <c r="J25" s="1227"/>
      <c r="K25" s="1236"/>
      <c r="W25" s="1157">
        <v>34</v>
      </c>
    </row>
    <row customHeight="1" ht="36">
      <c r="F26" s="1232" t="s">
        <v>1049</v>
      </c>
      <c r="G26" s="1239" t="s">
        <v>1050</v>
      </c>
      <c r="H26" s="1238">
        <f>SUM(I26:J26)</f>
        <v>0</v>
      </c>
      <c r="I26" s="1237"/>
      <c r="J26" s="1227"/>
      <c r="K26" s="1236"/>
      <c r="W26" s="1157">
        <v>34</v>
      </c>
    </row>
    <row customHeight="1" ht="11.25">
      <c r="F27" s="1232" t="s">
        <v>1051</v>
      </c>
      <c r="G27" s="1239" t="s">
        <v>1052</v>
      </c>
      <c r="H27" s="1238">
        <f>SUM(I27:J27)</f>
        <v>0</v>
      </c>
      <c r="I27" s="1237"/>
      <c r="J27" s="1227"/>
      <c r="K27" s="1236"/>
      <c r="W27" s="1157">
        <v>11</v>
      </c>
    </row>
    <row customHeight="1" ht="11.25">
      <c r="F28" s="1232">
        <v>2</v>
      </c>
      <c r="G28" s="692" t="s">
        <v>1053</v>
      </c>
      <c r="H28" s="1238">
        <f>SUM(I28:J28)</f>
        <v>0</v>
      </c>
      <c r="I28" s="1238">
        <f>SUM(I29:I31)</f>
        <v>0</v>
      </c>
      <c r="J28" s="1227"/>
      <c r="K28" s="1236"/>
      <c r="W28" s="1157">
        <v>11</v>
      </c>
    </row>
    <row customHeight="1" ht="11.25">
      <c r="F29" s="1232" t="s">
        <v>716</v>
      </c>
      <c r="G29" s="1239" t="s">
        <v>1054</v>
      </c>
      <c r="H29" s="1238">
        <f>SUM(I29:J29)</f>
        <v>0</v>
      </c>
      <c r="I29" s="1237"/>
      <c r="J29" s="1227"/>
      <c r="K29" s="1236"/>
      <c r="W29" s="1157">
        <v>11</v>
      </c>
    </row>
    <row customHeight="1" ht="11.25">
      <c r="F30" s="1232" t="s">
        <v>316</v>
      </c>
      <c r="G30" s="1239" t="s">
        <v>1055</v>
      </c>
      <c r="H30" s="1238">
        <f>SUM(I30:J30)</f>
        <v>0</v>
      </c>
      <c r="I30" s="1237"/>
      <c r="J30" s="1227"/>
      <c r="K30" s="1236"/>
      <c r="W30" s="1157">
        <v>11</v>
      </c>
    </row>
    <row customHeight="1" ht="11.25">
      <c r="F31" s="1232" t="s">
        <v>319</v>
      </c>
      <c r="G31" s="1239" t="s">
        <v>1056</v>
      </c>
      <c r="H31" s="1238">
        <f>SUM(I31:J31)</f>
        <v>0</v>
      </c>
      <c r="I31" s="1237"/>
      <c r="J31" s="1227"/>
      <c r="K31" s="1236"/>
      <c r="W31" s="1157">
        <v>11</v>
      </c>
    </row>
    <row customHeight="1" ht="11.25">
      <c r="F32" s="1232">
        <v>3</v>
      </c>
      <c r="G32" s="692" t="s">
        <v>1057</v>
      </c>
      <c r="H32" s="1238">
        <f>SUM(I32:J32)</f>
        <v>0</v>
      </c>
      <c r="I32" s="1238">
        <f>SUM(I33:I34)</f>
        <v>0</v>
      </c>
      <c r="J32" s="1227"/>
      <c r="K32" s="1236"/>
      <c r="W32" s="1157">
        <v>11</v>
      </c>
    </row>
    <row customHeight="1" ht="48">
      <c r="F33" s="1232" t="s">
        <v>333</v>
      </c>
      <c r="G33" s="1239" t="s">
        <v>1058</v>
      </c>
      <c r="H33" s="1238">
        <f>SUM(I33:J33)</f>
        <v>0</v>
      </c>
      <c r="I33" s="1237"/>
      <c r="J33" s="1227"/>
      <c r="K33" s="1236"/>
      <c r="W33" s="1157">
        <v>46</v>
      </c>
    </row>
    <row customHeight="1" ht="11.25">
      <c r="F34" s="1232" t="s">
        <v>341</v>
      </c>
      <c r="G34" s="1239" t="s">
        <v>1059</v>
      </c>
      <c r="H34" s="1238">
        <f>SUM(I34:J34)</f>
        <v>0</v>
      </c>
      <c r="I34" s="1237"/>
      <c r="J34" s="1227"/>
      <c r="K34" s="1236"/>
      <c r="W34" s="1157">
        <v>11</v>
      </c>
    </row>
    <row customHeight="1" ht="11.25">
      <c r="F35" s="1232">
        <v>4</v>
      </c>
      <c r="G35" s="692" t="s">
        <v>1060</v>
      </c>
      <c r="H35" s="1238">
        <f>SUM(I35:J35)</f>
        <v>0</v>
      </c>
      <c r="I35" s="1237"/>
      <c r="J35" s="1227"/>
      <c r="K35" s="1236"/>
      <c r="W35" s="1157">
        <v>11</v>
      </c>
    </row>
    <row customHeight="1" ht="11.25">
      <c r="F36" s="1232"/>
      <c r="G36" s="695" t="s">
        <v>1061</v>
      </c>
      <c r="H36" s="1238">
        <f>SUM(I36:J36)</f>
        <v>0</v>
      </c>
      <c r="I36" s="1238">
        <f>SUM(I15,I28,I32,I35)</f>
        <v>0</v>
      </c>
      <c r="J36" s="1227"/>
      <c r="K36" s="1236"/>
      <c r="W36" s="1157">
        <v>11</v>
      </c>
    </row>
    <row customHeight="1" ht="29.25">
      <c r="F37" s="1233" t="s">
        <v>1062</v>
      </c>
      <c r="G37" s="2424" t="s">
        <v>1063</v>
      </c>
      <c r="H37" s="2424"/>
      <c r="I37" s="2424"/>
      <c r="J37" s="2424"/>
      <c r="K37" s="1236"/>
      <c r="W37" s="1157">
        <v>28</v>
      </c>
    </row>
    <row customHeight="1" ht="24">
      <c r="F38" s="1232" t="s">
        <v>111</v>
      </c>
      <c r="G38" s="692" t="s">
        <v>1064</v>
      </c>
      <c r="H38" s="1238">
        <f>SUM(I38:J38)</f>
        <v>0</v>
      </c>
      <c r="I38" s="1238">
        <f>SUM(I39,I44,I47)</f>
        <v>0</v>
      </c>
      <c r="J38" s="1227"/>
      <c r="K38" s="1236"/>
      <c r="W38" s="1157">
        <v>23</v>
      </c>
    </row>
    <row customHeight="1" ht="11.25">
      <c r="F39" s="1232" t="s">
        <v>1029</v>
      </c>
      <c r="G39" s="1239" t="s">
        <v>1028</v>
      </c>
      <c r="H39" s="1238">
        <f>SUM(I39:J39)</f>
        <v>0</v>
      </c>
      <c r="I39" s="1238">
        <f>SUM(I40:I43)</f>
        <v>0</v>
      </c>
      <c r="J39" s="1227"/>
      <c r="K39" s="1236"/>
      <c r="W39" s="1157">
        <v>11</v>
      </c>
    </row>
    <row customHeight="1" ht="24">
      <c r="F40" s="1232" t="s">
        <v>1065</v>
      </c>
      <c r="G40" s="1240" t="s">
        <v>1066</v>
      </c>
      <c r="H40" s="1238">
        <f>SUM(I40:J40)</f>
        <v>0</v>
      </c>
      <c r="I40" s="1237"/>
      <c r="J40" s="1227"/>
      <c r="K40" s="1236"/>
      <c r="W40" s="1157">
        <v>23</v>
      </c>
    </row>
    <row customHeight="1" ht="11.25">
      <c r="F41" s="1232" t="s">
        <v>1067</v>
      </c>
      <c r="G41" s="1240" t="s">
        <v>1068</v>
      </c>
      <c r="H41" s="1238">
        <f>SUM(I41:J41)</f>
        <v>0</v>
      </c>
      <c r="I41" s="1237"/>
      <c r="J41" s="1227"/>
      <c r="K41" s="1236"/>
      <c r="W41" s="1157">
        <v>11</v>
      </c>
    </row>
    <row customHeight="1" ht="11.25">
      <c r="F42" s="1232" t="s">
        <v>1069</v>
      </c>
      <c r="G42" s="1240" t="s">
        <v>1070</v>
      </c>
      <c r="H42" s="1238">
        <f>SUM(I42:J42)</f>
        <v>0</v>
      </c>
      <c r="I42" s="1237"/>
      <c r="J42" s="1227"/>
      <c r="K42" s="1236"/>
      <c r="W42" s="1157">
        <v>11</v>
      </c>
    </row>
    <row customHeight="1" ht="36">
      <c r="F43" s="1232" t="s">
        <v>1071</v>
      </c>
      <c r="G43" s="1240" t="s">
        <v>1072</v>
      </c>
      <c r="H43" s="1238">
        <f>SUM(I43:J43)</f>
        <v>0</v>
      </c>
      <c r="I43" s="1237"/>
      <c r="J43" s="1227"/>
      <c r="K43" s="1236"/>
      <c r="W43" s="1157">
        <v>34</v>
      </c>
    </row>
    <row customHeight="1" ht="11.25">
      <c r="F44" s="1232" t="s">
        <v>1031</v>
      </c>
      <c r="G44" s="1239" t="s">
        <v>1057</v>
      </c>
      <c r="H44" s="1238">
        <f>SUM(I44:J44)</f>
        <v>0</v>
      </c>
      <c r="I44" s="1238">
        <f>SUM(I45:I46)</f>
        <v>0</v>
      </c>
      <c r="J44" s="1227"/>
      <c r="K44" s="1236"/>
      <c r="W44" s="1157">
        <v>11</v>
      </c>
    </row>
    <row customHeight="1" ht="48">
      <c r="F45" s="1232" t="s">
        <v>1073</v>
      </c>
      <c r="G45" s="1240" t="s">
        <v>1058</v>
      </c>
      <c r="H45" s="1238">
        <f>SUM(I45:J45)</f>
        <v>0</v>
      </c>
      <c r="I45" s="1237"/>
      <c r="J45" s="1227"/>
      <c r="K45" s="1236"/>
      <c r="W45" s="1157">
        <v>46</v>
      </c>
    </row>
    <row customHeight="1" ht="11.25">
      <c r="F46" s="1232" t="s">
        <v>1074</v>
      </c>
      <c r="G46" s="1240" t="s">
        <v>1059</v>
      </c>
      <c r="H46" s="1238">
        <f>SUM(I46:J46)</f>
        <v>0</v>
      </c>
      <c r="I46" s="1237"/>
      <c r="J46" s="1227"/>
      <c r="K46" s="1236"/>
      <c r="W46" s="1157">
        <v>11</v>
      </c>
    </row>
    <row customHeight="1" ht="11.25">
      <c r="F47" s="1232" t="s">
        <v>1033</v>
      </c>
      <c r="G47" s="1239" t="s">
        <v>1075</v>
      </c>
      <c r="H47" s="1238">
        <f>SUM(I47:J47)</f>
        <v>0</v>
      </c>
      <c r="I47" s="1237"/>
      <c r="J47" s="1227"/>
      <c r="K47" s="1236"/>
      <c r="W47" s="1157">
        <v>11</v>
      </c>
    </row>
    <row customHeight="1" ht="24">
      <c r="F48" s="1232" t="s">
        <v>112</v>
      </c>
      <c r="G48" s="692" t="s">
        <v>1076</v>
      </c>
      <c r="H48" s="1238">
        <f>SUM(I48:J48)</f>
        <v>0</v>
      </c>
      <c r="I48" s="1238">
        <f>SUM(I49,I54,I57)</f>
        <v>0</v>
      </c>
      <c r="J48" s="1227"/>
      <c r="K48" s="1236"/>
      <c r="W48" s="1157">
        <v>23</v>
      </c>
    </row>
    <row customHeight="1" ht="11.25">
      <c r="F49" s="1232" t="s">
        <v>716</v>
      </c>
      <c r="G49" s="1239" t="s">
        <v>1028</v>
      </c>
      <c r="H49" s="1238">
        <f>SUM(I49:J49)</f>
        <v>0</v>
      </c>
      <c r="I49" s="1238">
        <f>SUM(I50:I53)</f>
        <v>0</v>
      </c>
      <c r="J49" s="1227"/>
      <c r="K49" s="1236"/>
      <c r="W49" s="1157">
        <v>11</v>
      </c>
    </row>
    <row customHeight="1" ht="24">
      <c r="F50" s="1232" t="s">
        <v>719</v>
      </c>
      <c r="G50" s="1240" t="s">
        <v>1066</v>
      </c>
      <c r="H50" s="1238">
        <f>SUM(I50:J50)</f>
        <v>0</v>
      </c>
      <c r="I50" s="1237"/>
      <c r="J50" s="1227"/>
      <c r="K50" s="1236"/>
      <c r="W50" s="1157">
        <v>23</v>
      </c>
    </row>
    <row customHeight="1" ht="11.25">
      <c r="F51" s="1232" t="s">
        <v>722</v>
      </c>
      <c r="G51" s="1240" t="s">
        <v>1068</v>
      </c>
      <c r="H51" s="1238">
        <f>SUM(I51:J51)</f>
        <v>0</v>
      </c>
      <c r="I51" s="1237"/>
      <c r="J51" s="1227"/>
      <c r="K51" s="1236"/>
      <c r="W51" s="1157">
        <v>11</v>
      </c>
    </row>
    <row customHeight="1" ht="11.25">
      <c r="F52" s="1232" t="s">
        <v>1077</v>
      </c>
      <c r="G52" s="1240" t="s">
        <v>1070</v>
      </c>
      <c r="H52" s="1238">
        <f>SUM(I52:J52)</f>
        <v>0</v>
      </c>
      <c r="I52" s="1237"/>
      <c r="J52" s="1227"/>
      <c r="K52" s="1236"/>
      <c r="W52" s="1157">
        <v>11</v>
      </c>
    </row>
    <row customHeight="1" ht="36">
      <c r="F53" s="1232" t="s">
        <v>1078</v>
      </c>
      <c r="G53" s="1240" t="s">
        <v>1072</v>
      </c>
      <c r="H53" s="1238">
        <f>SUM(I53:J53)</f>
        <v>0</v>
      </c>
      <c r="I53" s="1237"/>
      <c r="J53" s="1227"/>
      <c r="K53" s="1236"/>
      <c r="W53" s="1157">
        <v>34</v>
      </c>
    </row>
    <row customHeight="1" ht="11.25">
      <c r="F54" s="1232" t="s">
        <v>316</v>
      </c>
      <c r="G54" s="1239" t="s">
        <v>1057</v>
      </c>
      <c r="H54" s="1238">
        <f>SUM(I54:J54)</f>
        <v>0</v>
      </c>
      <c r="I54" s="1238">
        <f>SUM(I55:I56)</f>
        <v>0</v>
      </c>
      <c r="J54" s="1227"/>
      <c r="K54" s="1236"/>
      <c r="W54" s="1157">
        <v>11</v>
      </c>
    </row>
    <row customHeight="1" ht="48">
      <c r="F55" s="1232" t="s">
        <v>726</v>
      </c>
      <c r="G55" s="1240" t="s">
        <v>1058</v>
      </c>
      <c r="H55" s="1238">
        <f>SUM(I55:J55)</f>
        <v>0</v>
      </c>
      <c r="I55" s="1237"/>
      <c r="J55" s="1227"/>
      <c r="K55" s="1236"/>
      <c r="W55" s="1157">
        <v>46</v>
      </c>
    </row>
    <row customHeight="1" ht="11.25">
      <c r="F56" s="1232" t="s">
        <v>728</v>
      </c>
      <c r="G56" s="1240" t="s">
        <v>1059</v>
      </c>
      <c r="H56" s="1238">
        <f>SUM(I56:J56)</f>
        <v>0</v>
      </c>
      <c r="I56" s="1237"/>
      <c r="J56" s="1227"/>
      <c r="K56" s="1236"/>
      <c r="W56" s="1157">
        <v>11</v>
      </c>
    </row>
    <row customHeight="1" ht="11.25">
      <c r="F57" s="1232" t="s">
        <v>319</v>
      </c>
      <c r="G57" s="1239" t="s">
        <v>1075</v>
      </c>
      <c r="H57" s="1238">
        <f>SUM(I57:J57)</f>
        <v>0</v>
      </c>
      <c r="I57" s="1237"/>
      <c r="J57" s="1227"/>
      <c r="K57" s="1236"/>
      <c r="W57" s="1157">
        <v>11</v>
      </c>
    </row>
    <row customHeight="1" ht="11.25">
      <c r="F58" s="1232"/>
      <c r="G58" s="1241" t="s">
        <v>1061</v>
      </c>
      <c r="H58" s="1238">
        <f>SUM(I58:J58)</f>
        <v>0</v>
      </c>
      <c r="I58" s="1238">
        <f>SUM(I38,I48)</f>
        <v>0</v>
      </c>
      <c r="J58" s="1227"/>
      <c r="K58" s="1236"/>
      <c r="W58" s="1157">
        <v>11</v>
      </c>
    </row>
    <row customHeight="1" ht="10.5" hidden="1">
      <c r="A59" s="1168" t="s">
        <v>84</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F98865B-AA94-4D0F-A558-0.B1572D9D}"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customWidth="1"/>
    <col min="29" max="71" style="1065" width="0.8515625" customWidth="1"/>
    <col min="72" max="79" style="1065" width="21.7109375" hidden="1" customWidth="1"/>
    <col min="80" max="81" style="1065" width="29.140625" hidden="1" customWidth="1"/>
    <col min="82" max="89" style="1065" width="21.7109375" hidden="1" customWidth="1"/>
    <col min="90" max="102" style="1065" width="0.7109375" hidden="1"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1079</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1080</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309</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90</v>
      </c>
      <c r="G11" s="2207" t="s">
        <v>1081</v>
      </c>
      <c r="H11" s="2439" t="s">
        <v>1082</v>
      </c>
      <c r="I11" s="2439" t="s">
        <v>1083</v>
      </c>
      <c r="J11" s="2440"/>
      <c r="K11" s="2440"/>
      <c r="L11" s="2440"/>
      <c r="M11" s="2440"/>
      <c r="N11" s="2440"/>
      <c r="O11" s="2211" t="s">
        <v>1084</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1084</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1084</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1085</v>
      </c>
      <c r="P12" s="2211"/>
      <c r="Q12" s="2211"/>
      <c r="R12" s="2211"/>
      <c r="S12" s="2211" t="s">
        <v>1086</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1087</v>
      </c>
      <c r="BU12" s="2389"/>
      <c r="BV12" s="2389"/>
      <c r="BW12" s="2435"/>
      <c r="BX12" s="2388" t="s">
        <v>1088</v>
      </c>
      <c r="BY12" s="2389"/>
      <c r="BZ12" s="2389"/>
      <c r="CA12" s="2435"/>
      <c r="CB12" s="2388" t="s">
        <v>1089</v>
      </c>
      <c r="CC12" s="2435"/>
      <c r="CD12" s="2388" t="s">
        <v>1090</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1091</v>
      </c>
      <c r="CZ12" s="2389"/>
      <c r="DA12" s="2389"/>
      <c r="DB12" s="2389"/>
      <c r="DC12" s="2389"/>
      <c r="DD12" s="2435"/>
      <c r="DE12" s="2388" t="s">
        <v>1092</v>
      </c>
      <c r="DF12" s="2435"/>
      <c r="DG12" s="2388" t="s">
        <v>1090</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1093</v>
      </c>
      <c r="P13" s="2211"/>
      <c r="Q13" s="2211"/>
      <c r="R13" s="2211"/>
      <c r="S13" s="2338" t="s">
        <v>1094</v>
      </c>
      <c r="T13" s="2390"/>
      <c r="U13" s="2129" t="s">
        <v>1095</v>
      </c>
      <c r="V13" s="2129"/>
      <c r="W13" s="2129"/>
      <c r="X13" s="2129"/>
      <c r="Y13" s="2129" t="s">
        <v>1096</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1097</v>
      </c>
      <c r="BU13" s="2390"/>
      <c r="BV13" s="2338" t="s">
        <v>1098</v>
      </c>
      <c r="BW13" s="2390"/>
      <c r="BX13" s="2338" t="s">
        <v>1099</v>
      </c>
      <c r="BY13" s="2390"/>
      <c r="BZ13" s="2338" t="s">
        <v>1100</v>
      </c>
      <c r="CA13" s="2390"/>
      <c r="CB13" s="2338" t="s">
        <v>1101</v>
      </c>
      <c r="CC13" s="2390"/>
      <c r="CD13" s="2338" t="s">
        <v>1102</v>
      </c>
      <c r="CE13" s="2390"/>
      <c r="CF13" s="2338" t="s">
        <v>1103</v>
      </c>
      <c r="CG13" s="2390"/>
      <c r="CH13" s="2388" t="s">
        <v>1104</v>
      </c>
      <c r="CI13" s="2389"/>
      <c r="CJ13" s="2389"/>
      <c r="CK13" s="2435"/>
      <c r="CL13" s="2438"/>
      <c r="CM13" s="2436"/>
      <c r="CN13" s="2436"/>
      <c r="CO13" s="2436"/>
      <c r="CP13" s="2436"/>
      <c r="CQ13" s="2436"/>
      <c r="CR13" s="2436"/>
      <c r="CS13" s="2436"/>
      <c r="CT13" s="2436"/>
      <c r="CU13" s="2436"/>
      <c r="CV13" s="2436"/>
      <c r="CW13" s="2436"/>
      <c r="CX13" s="2455"/>
      <c r="CY13" s="2338" t="s">
        <v>1105</v>
      </c>
      <c r="CZ13" s="2390"/>
      <c r="DA13" s="2338" t="s">
        <v>1106</v>
      </c>
      <c r="DB13" s="2390"/>
      <c r="DC13" s="2338" t="s">
        <v>1107</v>
      </c>
      <c r="DD13" s="2390"/>
      <c r="DE13" s="2338" t="s">
        <v>1108</v>
      </c>
      <c r="DF13" s="2390"/>
      <c r="DG13" s="2388" t="s">
        <v>1109</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1110</v>
      </c>
      <c r="P14" s="2390"/>
      <c r="Q14" s="2338" t="s">
        <v>1111</v>
      </c>
      <c r="R14" s="2390"/>
      <c r="S14" s="2339"/>
      <c r="T14" s="2215"/>
      <c r="U14" s="2338" t="s">
        <v>843</v>
      </c>
      <c r="V14" s="2390"/>
      <c r="W14" s="2338" t="s">
        <v>846</v>
      </c>
      <c r="X14" s="2390"/>
      <c r="Y14" s="2338" t="s">
        <v>843</v>
      </c>
      <c r="Z14" s="2390"/>
      <c r="AA14" s="2338" t="s">
        <v>853</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1112</v>
      </c>
      <c r="CI14" s="2390"/>
      <c r="CJ14" s="2338" t="s">
        <v>1113</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1114</v>
      </c>
      <c r="DH14" s="2390"/>
      <c r="DI14" s="2338" t="s">
        <v>1115</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833</v>
      </c>
      <c r="P16" s="2435"/>
      <c r="Q16" s="2388" t="s">
        <v>835</v>
      </c>
      <c r="R16" s="2435"/>
      <c r="S16" s="2388" t="s">
        <v>839</v>
      </c>
      <c r="T16" s="2435"/>
      <c r="U16" s="2388" t="s">
        <v>844</v>
      </c>
      <c r="V16" s="2435"/>
      <c r="W16" s="2388" t="s">
        <v>847</v>
      </c>
      <c r="X16" s="2435"/>
      <c r="Y16" s="2388" t="s">
        <v>851</v>
      </c>
      <c r="Z16" s="2435"/>
      <c r="AA16" s="2388" t="s">
        <v>854</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566</v>
      </c>
      <c r="BU16" s="2435"/>
      <c r="BV16" s="2388" t="s">
        <v>566</v>
      </c>
      <c r="BW16" s="2435"/>
      <c r="BX16" s="2388" t="s">
        <v>566</v>
      </c>
      <c r="BY16" s="2435"/>
      <c r="BZ16" s="2388" t="s">
        <v>566</v>
      </c>
      <c r="CA16" s="2435"/>
      <c r="CB16" s="2388" t="s">
        <v>1116</v>
      </c>
      <c r="CC16" s="2435"/>
      <c r="CD16" s="2388" t="s">
        <v>566</v>
      </c>
      <c r="CE16" s="2435"/>
      <c r="CF16" s="2388" t="s">
        <v>1117</v>
      </c>
      <c r="CG16" s="2435"/>
      <c r="CH16" s="2388" t="s">
        <v>1118</v>
      </c>
      <c r="CI16" s="2435"/>
      <c r="CJ16" s="2388" t="s">
        <v>1118</v>
      </c>
      <c r="CK16" s="2435"/>
      <c r="CL16" s="2438"/>
      <c r="CM16" s="2436"/>
      <c r="CN16" s="2436"/>
      <c r="CO16" s="2436"/>
      <c r="CP16" s="2436"/>
      <c r="CQ16" s="2436"/>
      <c r="CR16" s="2436"/>
      <c r="CS16" s="2436"/>
      <c r="CT16" s="2436"/>
      <c r="CU16" s="2436"/>
      <c r="CV16" s="2436"/>
      <c r="CW16" s="2436"/>
      <c r="CX16" s="2455"/>
      <c r="CY16" s="2338" t="s">
        <v>566</v>
      </c>
      <c r="CZ16" s="2390"/>
      <c r="DA16" s="2338" t="s">
        <v>566</v>
      </c>
      <c r="DB16" s="2390"/>
      <c r="DC16" s="2338" t="s">
        <v>566</v>
      </c>
      <c r="DD16" s="2390"/>
      <c r="DE16" s="2388" t="s">
        <v>1116</v>
      </c>
      <c r="DF16" s="2435"/>
      <c r="DG16" s="2388" t="s">
        <v>1119</v>
      </c>
      <c r="DH16" s="2435"/>
      <c r="DI16" s="2388" t="s">
        <v>1119</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1120</v>
      </c>
      <c r="P17" s="1193" t="s">
        <v>1121</v>
      </c>
      <c r="Q17" s="1193" t="s">
        <v>1120</v>
      </c>
      <c r="R17" s="1193" t="s">
        <v>1121</v>
      </c>
      <c r="S17" s="1193" t="s">
        <v>1120</v>
      </c>
      <c r="T17" s="1193" t="s">
        <v>1121</v>
      </c>
      <c r="U17" s="1193" t="s">
        <v>1120</v>
      </c>
      <c r="V17" s="1193" t="s">
        <v>1121</v>
      </c>
      <c r="W17" s="1193" t="s">
        <v>1120</v>
      </c>
      <c r="X17" s="1193" t="s">
        <v>1121</v>
      </c>
      <c r="Y17" s="1193" t="s">
        <v>1120</v>
      </c>
      <c r="Z17" s="1193" t="s">
        <v>1121</v>
      </c>
      <c r="AA17" s="1193" t="s">
        <v>1120</v>
      </c>
      <c r="AB17" s="1193" t="s">
        <v>1121</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1120</v>
      </c>
      <c r="BU17" s="1193" t="s">
        <v>1121</v>
      </c>
      <c r="BV17" s="1193" t="s">
        <v>1120</v>
      </c>
      <c r="BW17" s="1193" t="s">
        <v>1121</v>
      </c>
      <c r="BX17" s="1193" t="s">
        <v>1120</v>
      </c>
      <c r="BY17" s="1193" t="s">
        <v>1121</v>
      </c>
      <c r="BZ17" s="1193" t="s">
        <v>1120</v>
      </c>
      <c r="CA17" s="1193" t="s">
        <v>1121</v>
      </c>
      <c r="CB17" s="1193" t="s">
        <v>1120</v>
      </c>
      <c r="CC17" s="1193" t="s">
        <v>1121</v>
      </c>
      <c r="CD17" s="1193" t="s">
        <v>1120</v>
      </c>
      <c r="CE17" s="1193" t="s">
        <v>1121</v>
      </c>
      <c r="CF17" s="1193" t="s">
        <v>1120</v>
      </c>
      <c r="CG17" s="1193" t="s">
        <v>1121</v>
      </c>
      <c r="CH17" s="1193" t="s">
        <v>1120</v>
      </c>
      <c r="CI17" s="1193" t="s">
        <v>1121</v>
      </c>
      <c r="CJ17" s="1193" t="s">
        <v>1120</v>
      </c>
      <c r="CK17" s="1193" t="s">
        <v>1121</v>
      </c>
      <c r="CL17" s="2438"/>
      <c r="CM17" s="2436"/>
      <c r="CN17" s="2436"/>
      <c r="CO17" s="2436"/>
      <c r="CP17" s="2436"/>
      <c r="CQ17" s="2436"/>
      <c r="CR17" s="2436"/>
      <c r="CS17" s="2436"/>
      <c r="CT17" s="2436"/>
      <c r="CU17" s="2436"/>
      <c r="CV17" s="2436"/>
      <c r="CW17" s="2436"/>
      <c r="CX17" s="2455"/>
      <c r="CY17" s="1193" t="s">
        <v>1120</v>
      </c>
      <c r="CZ17" s="1193" t="s">
        <v>1121</v>
      </c>
      <c r="DA17" s="1193" t="s">
        <v>1120</v>
      </c>
      <c r="DB17" s="1193" t="s">
        <v>1121</v>
      </c>
      <c r="DC17" s="1193" t="s">
        <v>1120</v>
      </c>
      <c r="DD17" s="1193" t="s">
        <v>1121</v>
      </c>
      <c r="DE17" s="1193" t="s">
        <v>1120</v>
      </c>
      <c r="DF17" s="1193" t="s">
        <v>1121</v>
      </c>
      <c r="DG17" s="1193" t="s">
        <v>1120</v>
      </c>
      <c r="DH17" s="1193" t="s">
        <v>1121</v>
      </c>
      <c r="DI17" s="1193" t="s">
        <v>1120</v>
      </c>
      <c r="DJ17" s="1193" t="s">
        <v>1121</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385</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84</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542933-CBBD-6632-A251-0.D5522095}" mc:Ignorable="x14ac xr xr2 xr3">
  <sheetPr>
    <tabColor theme="2" tint="-0.1"/>
  </sheetPr>
  <dimension ref="A1:S23"/>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454</v>
      </c>
      <c r="D2" s="541"/>
      <c r="E2" s="665"/>
      <c r="F2" s="1763" t="str">
        <f>IF(TEMPLATE_SPHERE="HEAT","Гкал/час","тыс. куб. м/сутки")</f>
        <v>Гкал/час</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119</v>
      </c>
      <c r="S8" s="507">
        <v>1</v>
      </c>
    </row>
    <row customHeight="1" ht="15.75">
      <c r="C9" s="178"/>
      <c r="D9" s="713"/>
      <c r="E9" s="2369" t="s">
        <v>107</v>
      </c>
      <c r="F9" s="2370"/>
      <c r="G9" s="818" t="str">
        <f>IF(G8="","",INDEX(DIFFERENTIATION_UNMERGE_VD,MATCH(G8,DIFFERENTIATION_ID_DIFF,0)))</f>
        <v/>
      </c>
      <c r="H9" s="818">
        <f>IF(H8="","",INDEX(DIFFERENTIATION_UNMERGE_VD,MATCH(H8,DIFFERENTIATION_ID_DIFF,0)))</f>
        <v>0</v>
      </c>
      <c r="I9" s="2129" t="s">
        <v>310</v>
      </c>
      <c r="S9" s="507">
        <v>15</v>
      </c>
    </row>
    <row s="1637" customFormat="1" customHeight="1" ht="15.75">
      <c r="A10" s="761"/>
      <c r="C10" s="178"/>
      <c r="D10" s="713"/>
      <c r="E10" s="2369" t="s">
        <v>572</v>
      </c>
      <c r="F10" s="2370"/>
      <c r="G10" s="818" t="str">
        <f>IF(G8="","",INDEX(DIFFERENTIATION_UNMERGE_AREA,MATCH(G8,DIFFERENTIATION_ID_DIFF,0)))</f>
        <v/>
      </c>
      <c r="H10" s="818" t="str">
        <f>IF(H8="","",INDEX(DIFFERENTIATION_UNMERGE_AREA,MATCH(H8,DIFFERENTIATION_ID_DIFF,0)))</f>
        <v/>
      </c>
      <c r="I10" s="2129"/>
      <c r="R10" s="677"/>
      <c r="S10" s="760">
        <v>15</v>
      </c>
    </row>
    <row s="1637" customFormat="1" customHeight="1" ht="15.75">
      <c r="A11" s="761"/>
      <c r="C11" s="178"/>
      <c r="D11" s="713"/>
      <c r="E11" s="2369" t="s">
        <v>573</v>
      </c>
      <c r="F11" s="2370"/>
      <c r="G11" s="818" t="str">
        <f>IF(G8="","",INDEX(DIFFERENTIATION_UNMERGE_SYSTEM,MATCH(G8,DIFFERENTIATION_ID_DIFF,0)))</f>
        <v/>
      </c>
      <c r="H11" s="818" t="str">
        <f>IF(H8="","",INDEX(DIFFERENTIATION_UNMERGE_SYSTEM,MATCH(H8,DIFFERENTIATION_ID_DIFF,0)))</f>
        <v>без дифференциации</v>
      </c>
      <c r="I11" s="2129"/>
      <c r="R11" s="677"/>
      <c r="S11" s="760">
        <v>15</v>
      </c>
    </row>
    <row s="1637" customFormat="1" customHeight="1" ht="15.75">
      <c r="A12" s="761"/>
      <c r="C12" s="178"/>
      <c r="D12" s="2371" t="s">
        <v>309</v>
      </c>
      <c r="E12" s="2372"/>
      <c r="F12" s="2372"/>
      <c r="G12" s="889"/>
      <c r="H12" s="889"/>
      <c r="I12" s="2129"/>
      <c r="R12" s="677"/>
      <c r="S12" s="760">
        <v>15</v>
      </c>
    </row>
    <row customHeight="1" ht="36">
      <c r="C13" s="178"/>
      <c r="D13" s="763" t="s">
        <v>90</v>
      </c>
      <c r="E13" s="762" t="s">
        <v>311</v>
      </c>
      <c r="F13" s="762" t="s">
        <v>574</v>
      </c>
      <c r="G13" s="810" t="s">
        <v>312</v>
      </c>
      <c r="H13" s="756" t="s">
        <v>312</v>
      </c>
      <c r="I13" s="2129"/>
      <c r="S13" s="507">
        <v>34</v>
      </c>
    </row>
    <row customHeight="1" ht="15" hidden="1">
      <c r="C14" s="178"/>
      <c r="D14" s="595" t="s">
        <v>111</v>
      </c>
      <c r="E14" s="595" t="s">
        <v>112</v>
      </c>
      <c r="F14" s="595" t="s">
        <v>92</v>
      </c>
      <c r="G14" s="661" t="str">
        <f>G1&amp;".1"</f>
        <v>.1</v>
      </c>
      <c r="H14" s="661" t="str">
        <f>H1&amp;".1"</f>
        <v>4.1</v>
      </c>
      <c r="I14" s="291"/>
      <c r="S14" s="507">
        <v>0</v>
      </c>
    </row>
    <row customHeight="1" ht="15.75">
      <c r="A15" s="507"/>
      <c r="C15" s="528"/>
      <c r="D15" s="523">
        <v>1</v>
      </c>
      <c r="E15" s="1932" t="str">
        <f>TP_P_A</f>
        <v>Количество поданных заявок</v>
      </c>
      <c r="F15" s="523" t="s">
        <v>1122</v>
      </c>
      <c r="G15" s="687"/>
      <c r="H15" s="687"/>
      <c r="I15" s="210"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7">
        <v>15</v>
      </c>
    </row>
    <row customHeight="1" ht="15.75">
      <c r="A16" s="507"/>
      <c r="C16" s="528"/>
      <c r="D16" s="523">
        <v>2</v>
      </c>
      <c r="E16" s="1932" t="str">
        <f>TP_P_B</f>
        <v>Количество рассмотренных заявок</v>
      </c>
      <c r="F16" s="523" t="s">
        <v>1122</v>
      </c>
      <c r="G16" s="687"/>
      <c r="H16" s="687"/>
      <c r="I16" s="210"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7">
        <v>15</v>
      </c>
    </row>
    <row customHeight="1" ht="78">
      <c r="A17" s="507"/>
      <c r="C17" s="528"/>
      <c r="D17" s="523">
        <v>3</v>
      </c>
      <c r="E17" s="193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3" t="s">
        <v>1122</v>
      </c>
      <c r="G17" s="687"/>
      <c r="H17" s="687"/>
      <c r="I17" s="210" t="str">
        <f>TP_P_NOTE_V</f>
        <v>Указывается количество заявок с решением об отказе в течение отчетного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системе теплоснабжения</v>
      </c>
      <c r="F18" s="523" t="s">
        <v>315</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Резерв мощности источников тепловой энергии, входящих в систему теплоснабжения, в течение одного квартала, в том числе:</v>
      </c>
      <c r="F19" s="523" t="str">
        <f>IF(TEMPLATE_SPHERE="HEAT","Гкал/час","тыс. куб. м/сутки")</f>
        <v>Гкал/час</v>
      </c>
      <c r="G19" s="689">
        <f>SUM(G20:G22)</f>
        <v>0</v>
      </c>
      <c r="H19" s="689">
        <f>SUM(H20:H22)</f>
        <v>0</v>
      </c>
      <c r="I19" s="210"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7">
        <v>57</v>
      </c>
    </row>
    <row customHeight="1" ht="15" hidden="1">
      <c r="D20" s="511" t="s">
        <v>1123</v>
      </c>
      <c r="E20" s="690"/>
      <c r="F20" s="511"/>
      <c r="G20" s="511"/>
      <c r="H20" s="511"/>
      <c r="I20" s="1765"/>
      <c r="S20" s="507">
        <v>0</v>
      </c>
    </row>
    <row customHeight="1" ht="29.25">
      <c r="C21" s="453"/>
      <c r="D21" s="541" t="s">
        <v>322</v>
      </c>
      <c r="E21" s="672"/>
      <c r="F21" s="1763" t="str">
        <f>IF(TEMPLATE_SPHERE="HEAT","Гкал/час","тыс. куб. м/сутки")</f>
        <v>Гкал/час</v>
      </c>
      <c r="G21" s="682"/>
      <c r="H21" s="682"/>
      <c r="I21" s="2171"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7">
        <v>28</v>
      </c>
    </row>
    <row customHeight="1" ht="15.75">
      <c r="A22" s="507"/>
      <c r="C22" s="507"/>
      <c r="D22" s="349"/>
      <c r="E22" s="582" t="s">
        <v>1124</v>
      </c>
      <c r="F22" s="574"/>
      <c r="G22" s="574"/>
      <c r="H22" s="574"/>
      <c r="I22" s="2173"/>
      <c r="R22" s="507"/>
      <c r="S22" s="507">
        <v>15</v>
      </c>
    </row>
    <row customHeight="1" ht="22.5" hidden="1">
      <c r="A23" s="451" t="s">
        <v>84</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EECDA8-277A-1524-1483-0.0A222A3D}"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309</v>
      </c>
      <c r="E9" s="2211"/>
      <c r="F9" s="2211"/>
      <c r="G9" s="2391" t="s">
        <v>310</v>
      </c>
      <c r="Q9" s="85">
        <v>14</v>
      </c>
    </row>
    <row customHeight="1" ht="24">
      <c r="C10" s="98"/>
      <c r="D10" s="107" t="s">
        <v>90</v>
      </c>
      <c r="E10" s="110" t="s">
        <v>311</v>
      </c>
      <c r="F10" s="110" t="s">
        <v>399</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200" t="s">
        <v>315</v>
      </c>
      <c r="G12" s="153"/>
      <c r="Q12" s="85">
        <v>62</v>
      </c>
    </row>
    <row customHeight="1" ht="24">
      <c r="A13" s="194"/>
      <c r="C13" s="98"/>
      <c r="D13" s="149" t="s">
        <v>1029</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315</v>
      </c>
      <c r="G13" s="153"/>
      <c r="Q13" s="85">
        <v>23</v>
      </c>
    </row>
    <row customHeight="1" ht="15">
      <c r="A14" s="194"/>
      <c r="C14" s="98"/>
      <c r="D14" s="149" t="s">
        <v>1065</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1125</v>
      </c>
      <c r="F15" s="203"/>
      <c r="G15" s="2173"/>
      <c r="Q15" s="85">
        <v>15</v>
      </c>
    </row>
    <row customHeight="1" ht="15">
      <c r="A16" s="194"/>
      <c r="C16" s="98"/>
      <c r="D16" s="149" t="s">
        <v>1031</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200" t="s">
        <v>315</v>
      </c>
      <c r="G16" s="339"/>
      <c r="Q16" s="85">
        <v>14</v>
      </c>
    </row>
    <row customHeight="1" ht="15">
      <c r="A17" s="194"/>
      <c r="C17" s="98"/>
      <c r="D17" s="149" t="s">
        <v>1073</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5">
        <v>14</v>
      </c>
    </row>
    <row s="1637" customFormat="1" customHeight="1" ht="21.75">
      <c r="A18" s="345"/>
      <c r="B18" s="148"/>
      <c r="C18" s="309"/>
      <c r="D18" s="349"/>
      <c r="E18" s="351" t="s">
        <v>1126</v>
      </c>
      <c r="F18" s="340"/>
      <c r="G18" s="2173"/>
      <c r="I18" s="352"/>
      <c r="J18" s="352"/>
      <c r="Q18" s="344">
        <v>21</v>
      </c>
    </row>
    <row s="1637" customFormat="1" customHeight="1" ht="256.5" hidden="1">
      <c r="A19" s="345"/>
      <c r="B19" s="419"/>
      <c r="C19" s="378"/>
      <c r="D19" s="886" t="s">
        <v>1033</v>
      </c>
      <c r="E19" s="885" t="s">
        <v>1127</v>
      </c>
      <c r="F19" s="387"/>
      <c r="G19" s="339" t="s">
        <v>1128</v>
      </c>
      <c r="I19" s="502"/>
      <c r="J19" s="502"/>
      <c r="Q19" s="760">
        <v>0</v>
      </c>
    </row>
    <row s="1637" customFormat="1" customHeight="1" ht="15">
      <c r="A20" s="345"/>
      <c r="B20" s="148"/>
      <c r="C20" s="309"/>
      <c r="D20" s="887">
        <v>2</v>
      </c>
      <c r="E20" s="332" t="s">
        <v>1129</v>
      </c>
      <c r="F20" s="200" t="s">
        <v>315</v>
      </c>
      <c r="G20" s="339"/>
      <c r="I20" s="352"/>
      <c r="J20" s="352"/>
      <c r="Q20" s="344">
        <v>14</v>
      </c>
    </row>
    <row s="1637" customFormat="1" customHeight="1" ht="18.75" hidden="1">
      <c r="A21" s="345"/>
      <c r="B21" s="148"/>
      <c r="C21" s="309"/>
      <c r="D21" s="335" t="s">
        <v>644</v>
      </c>
      <c r="E21" s="334"/>
      <c r="F21" s="333"/>
      <c r="G21" s="343"/>
      <c r="H21" s="336"/>
      <c r="I21" s="352"/>
      <c r="J21" s="352"/>
      <c r="Q21" s="344">
        <v>0</v>
      </c>
    </row>
    <row customHeight="1" ht="15.75">
      <c r="A22" s="194"/>
      <c r="C22" s="98"/>
      <c r="D22" s="111"/>
      <c r="E22" s="205" t="s">
        <v>331</v>
      </c>
      <c r="F22" s="340"/>
      <c r="G22" s="341"/>
      <c r="Q22" s="85">
        <v>15</v>
      </c>
    </row>
    <row s="1637" customFormat="1" customHeight="1" ht="22.5" hidden="1">
      <c r="A23" s="345"/>
      <c r="B23" s="1162"/>
      <c r="C23" s="378"/>
      <c r="D23" s="1675" t="s">
        <v>112</v>
      </c>
      <c r="E23" s="199" t="s">
        <v>1130</v>
      </c>
      <c r="F23" s="1672" t="s">
        <v>315</v>
      </c>
      <c r="G23" s="347"/>
      <c r="I23" s="1626"/>
      <c r="J23" s="1626"/>
      <c r="Q23" s="1633">
        <v>0</v>
      </c>
    </row>
    <row s="1637" customFormat="1" customHeight="1" ht="14.25" hidden="1">
      <c r="A24" s="345"/>
      <c r="B24" s="1162"/>
      <c r="C24" s="378"/>
      <c r="D24" s="1675" t="s">
        <v>716</v>
      </c>
      <c r="E24" s="1674" t="s">
        <v>1131</v>
      </c>
      <c r="F24" s="1672" t="s">
        <v>315</v>
      </c>
      <c r="G24" s="339"/>
      <c r="I24" s="1626"/>
      <c r="J24" s="1626"/>
      <c r="Q24" s="1633">
        <v>0</v>
      </c>
    </row>
    <row s="1637" customFormat="1" customHeight="1" ht="14.25" hidden="1">
      <c r="A25" s="345"/>
      <c r="B25" s="1162"/>
      <c r="C25" s="378"/>
      <c r="D25" s="1675" t="s">
        <v>719</v>
      </c>
      <c r="E25" s="197"/>
      <c r="F25" s="387"/>
      <c r="G25" s="2171" t="s">
        <v>1132</v>
      </c>
      <c r="I25" s="1626"/>
      <c r="J25" s="1626"/>
      <c r="Q25" s="1633">
        <v>0</v>
      </c>
    </row>
    <row s="1637" customFormat="1" customHeight="1" ht="22.5" hidden="1">
      <c r="A26" s="345"/>
      <c r="B26" s="1162"/>
      <c r="C26" s="378"/>
      <c r="D26" s="349"/>
      <c r="E26" s="351" t="s">
        <v>1133</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84</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EC5212D-598D-E36E-A8CE-0.2287E217}"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454</v>
      </c>
      <c r="D2" s="1675"/>
      <c r="E2" s="201"/>
      <c r="F2" s="1672"/>
      <c r="G2" s="1672" t="s">
        <v>315</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454</v>
      </c>
      <c r="D4" s="1675"/>
      <c r="E4" s="207" t="s">
        <v>1134</v>
      </c>
      <c r="F4" s="1672"/>
      <c r="G4" s="259"/>
      <c r="H4" s="1672" t="s">
        <v>315</v>
      </c>
      <c r="K4" s="1626"/>
      <c r="L4" s="1626"/>
      <c r="M4" s="1633">
        <v>0</v>
      </c>
    </row>
    <row s="1637" customFormat="1" customHeight="1" ht="14.25" hidden="1">
      <c r="A5" s="1364"/>
      <c r="B5" s="1162"/>
      <c r="C5" s="346"/>
      <c r="K5" s="1626"/>
      <c r="L5" s="1626"/>
      <c r="M5" s="1633">
        <v>0</v>
      </c>
    </row>
    <row s="1637" customFormat="1" customHeight="1" ht="18.75" hidden="1">
      <c r="A6" s="1685"/>
      <c r="B6" s="1162"/>
      <c r="C6" s="1732" t="s">
        <v>454</v>
      </c>
      <c r="D6" s="1675"/>
      <c r="E6" s="208" t="s">
        <v>1135</v>
      </c>
      <c r="F6" s="1672"/>
      <c r="G6" s="259"/>
      <c r="H6" s="1672" t="s">
        <v>315</v>
      </c>
      <c r="K6" s="1626"/>
      <c r="L6" s="1626"/>
      <c r="M6" s="1633">
        <v>0</v>
      </c>
    </row>
    <row s="1637" customFormat="1" customHeight="1" ht="14.25" hidden="1">
      <c r="A7" s="1364"/>
      <c r="B7" s="1162"/>
      <c r="C7" s="346"/>
      <c r="K7" s="1626"/>
      <c r="L7" s="1626"/>
      <c r="M7" s="1633">
        <v>0</v>
      </c>
    </row>
    <row s="1637" customFormat="1" customHeight="1" ht="18.75" hidden="1">
      <c r="A8" s="1685"/>
      <c r="B8" s="1162"/>
      <c r="C8" s="1732" t="s">
        <v>454</v>
      </c>
      <c r="D8" s="1675"/>
      <c r="E8" s="208" t="s">
        <v>1136</v>
      </c>
      <c r="F8" s="1672"/>
      <c r="G8" s="259"/>
      <c r="H8" s="1672" t="s">
        <v>315</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454</v>
      </c>
      <c r="D10" s="1675"/>
      <c r="E10" s="208" t="s">
        <v>1137</v>
      </c>
      <c r="F10" s="1672"/>
      <c r="G10" s="1676"/>
      <c r="H10" s="1672" t="s">
        <v>315</v>
      </c>
      <c r="K10" s="1626"/>
      <c r="L10" s="1626" t="s">
        <v>1138</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309</v>
      </c>
      <c r="E18" s="2211"/>
      <c r="F18" s="2211"/>
      <c r="G18" s="2211"/>
      <c r="H18" s="2211"/>
      <c r="I18" s="2391" t="s">
        <v>310</v>
      </c>
      <c r="M18" s="85">
        <v>21</v>
      </c>
    </row>
    <row customHeight="1" ht="21.75">
      <c r="C19" s="98"/>
      <c r="D19" s="107" t="s">
        <v>90</v>
      </c>
      <c r="E19" s="110" t="s">
        <v>311</v>
      </c>
      <c r="F19" s="110"/>
      <c r="G19" s="110" t="s">
        <v>312</v>
      </c>
      <c r="H19" s="110" t="s">
        <v>399</v>
      </c>
      <c r="I19" s="2391"/>
      <c r="M19" s="85">
        <v>21</v>
      </c>
    </row>
    <row customHeight="1" ht="12" hidden="1">
      <c r="C20" s="98"/>
      <c r="D20" s="89"/>
      <c r="E20" s="89"/>
      <c r="F20" s="89"/>
      <c r="G20" s="89"/>
      <c r="H20" s="89"/>
      <c r="I20" s="89"/>
      <c r="M20" s="85">
        <v>0</v>
      </c>
    </row>
    <row customHeight="1" ht="15">
      <c r="A21" s="1685"/>
      <c r="C21" s="98"/>
      <c r="D21" s="149">
        <v>1</v>
      </c>
      <c r="E21" s="2463" t="s">
        <v>1139</v>
      </c>
      <c r="F21" s="2463"/>
      <c r="G21" s="2463"/>
      <c r="H21" s="2463"/>
      <c r="I21" s="210"/>
      <c r="M21" s="85">
        <v>14</v>
      </c>
    </row>
    <row customHeight="1" ht="21">
      <c r="A22" s="1685"/>
      <c r="C22" s="98"/>
      <c r="D22" s="149" t="s">
        <v>1029</v>
      </c>
      <c r="E22" s="196" t="s">
        <v>1140</v>
      </c>
      <c r="F22" s="200"/>
      <c r="G22" s="1739"/>
      <c r="H22" s="200" t="s">
        <v>315</v>
      </c>
      <c r="I22" s="153" t="s">
        <v>1141</v>
      </c>
      <c r="M22" s="85">
        <v>20</v>
      </c>
    </row>
    <row customHeight="1" ht="60">
      <c r="A23" s="1685"/>
      <c r="C23" s="98"/>
      <c r="D23" s="149" t="s">
        <v>1031</v>
      </c>
      <c r="E23" s="196" t="s">
        <v>1142</v>
      </c>
      <c r="F23" s="200"/>
      <c r="G23" s="259"/>
      <c r="H23" s="215"/>
      <c r="I23" s="260" t="s">
        <v>1143</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200"/>
      <c r="G24" s="200" t="s">
        <v>315</v>
      </c>
      <c r="H24" s="215"/>
      <c r="I24" s="261" t="s">
        <v>639</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2"/>
      <c r="G25" s="2462"/>
      <c r="H25" s="2462"/>
      <c r="I25" s="258"/>
      <c r="M25" s="85">
        <v>46</v>
      </c>
    </row>
    <row customHeight="1" ht="15">
      <c r="A26" s="1685"/>
      <c r="C26" s="98"/>
      <c r="D26" s="149" t="s">
        <v>333</v>
      </c>
      <c r="E26" s="201"/>
      <c r="F26" s="200"/>
      <c r="G26" s="200" t="s">
        <v>315</v>
      </c>
      <c r="H26" s="215"/>
      <c r="I26" s="2171" t="s">
        <v>1144</v>
      </c>
      <c r="M26" s="85">
        <v>14</v>
      </c>
    </row>
    <row customHeight="1" ht="15.75">
      <c r="A27" s="1685" t="s">
        <v>111</v>
      </c>
      <c r="C27" s="98"/>
      <c r="D27" s="111"/>
      <c r="E27" s="205" t="s">
        <v>331</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2"/>
      <c r="G28" s="2462"/>
      <c r="H28" s="2462"/>
      <c r="I28" s="258"/>
      <c r="M28" s="85">
        <v>38</v>
      </c>
    </row>
    <row customHeight="1" ht="21">
      <c r="A29" s="1685"/>
      <c r="C29" s="98"/>
      <c r="D29" s="149" t="s">
        <v>761</v>
      </c>
      <c r="E29" s="207" t="s">
        <v>1134</v>
      </c>
      <c r="F29" s="200"/>
      <c r="G29" s="259"/>
      <c r="H29" s="200" t="s">
        <v>315</v>
      </c>
      <c r="I29" s="2171" t="s">
        <v>1145</v>
      </c>
      <c r="M29" s="85">
        <v>20</v>
      </c>
    </row>
    <row customHeight="1" ht="15.75">
      <c r="A30" s="1685" t="s">
        <v>112</v>
      </c>
      <c r="C30" s="98"/>
      <c r="D30" s="111"/>
      <c r="E30" s="205" t="s">
        <v>331</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2"/>
      <c r="G31" s="2462"/>
      <c r="H31" s="2462"/>
      <c r="I31" s="258"/>
      <c r="M31" s="85">
        <v>30</v>
      </c>
    </row>
    <row customHeight="1" ht="27">
      <c r="A32" s="1685"/>
      <c r="C32" s="98"/>
      <c r="D32" s="149" t="s">
        <v>322</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5"/>
      <c r="G32" s="2405"/>
      <c r="H32" s="2405"/>
      <c r="I32" s="258"/>
      <c r="M32" s="85">
        <v>26</v>
      </c>
    </row>
    <row customHeight="1" ht="15">
      <c r="A33" s="1685"/>
      <c r="C33" s="98"/>
      <c r="D33" s="149" t="s">
        <v>1146</v>
      </c>
      <c r="E33" s="208" t="s">
        <v>1135</v>
      </c>
      <c r="F33" s="200"/>
      <c r="G33" s="259"/>
      <c r="H33" s="200" t="s">
        <v>315</v>
      </c>
      <c r="I33" s="2171" t="s">
        <v>1147</v>
      </c>
      <c r="M33" s="85">
        <v>14</v>
      </c>
    </row>
    <row customHeight="1" ht="15.75">
      <c r="A34" s="1685" t="s">
        <v>92</v>
      </c>
      <c r="C34" s="98"/>
      <c r="D34" s="111"/>
      <c r="E34" s="206" t="s">
        <v>331</v>
      </c>
      <c r="F34" s="202"/>
      <c r="G34" s="202"/>
      <c r="H34" s="203"/>
      <c r="I34" s="2173"/>
      <c r="M34" s="85">
        <v>15</v>
      </c>
    </row>
    <row customHeight="1" ht="25.5">
      <c r="A35" s="1685"/>
      <c r="C35" s="98"/>
      <c r="D35" s="149" t="s">
        <v>889</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5"/>
      <c r="G35" s="2405"/>
      <c r="H35" s="2405"/>
      <c r="I35" s="258"/>
      <c r="M35" s="85">
        <v>24</v>
      </c>
    </row>
    <row customHeight="1" ht="15">
      <c r="A36" s="1685"/>
      <c r="C36" s="98"/>
      <c r="D36" s="149" t="s">
        <v>1148</v>
      </c>
      <c r="E36" s="208" t="s">
        <v>1136</v>
      </c>
      <c r="F36" s="200"/>
      <c r="G36" s="259"/>
      <c r="H36" s="200" t="s">
        <v>315</v>
      </c>
      <c r="I36" s="2145" t="s">
        <v>1149</v>
      </c>
      <c r="M36" s="85">
        <v>14</v>
      </c>
    </row>
    <row customHeight="1" ht="15.75">
      <c r="A37" s="1685" t="s">
        <v>93</v>
      </c>
      <c r="C37" s="98"/>
      <c r="D37" s="111"/>
      <c r="E37" s="206" t="s">
        <v>331</v>
      </c>
      <c r="F37" s="202"/>
      <c r="G37" s="202"/>
      <c r="H37" s="203"/>
      <c r="I37" s="2145"/>
      <c r="M37" s="85">
        <v>15</v>
      </c>
    </row>
    <row customHeight="1" ht="27">
      <c r="A38" s="1685"/>
      <c r="C38" s="98"/>
      <c r="D38" s="149" t="s">
        <v>890</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5"/>
      <c r="G38" s="2405"/>
      <c r="H38" s="2405"/>
      <c r="I38" s="258"/>
      <c r="M38" s="85">
        <v>26</v>
      </c>
    </row>
    <row customHeight="1" ht="15">
      <c r="A39" s="1685"/>
      <c r="C39" s="98"/>
      <c r="D39" s="149" t="s">
        <v>891</v>
      </c>
      <c r="E39" s="208" t="s">
        <v>1137</v>
      </c>
      <c r="F39" s="200"/>
      <c r="G39" s="209"/>
      <c r="H39" s="200" t="s">
        <v>315</v>
      </c>
      <c r="I39" s="2171" t="s">
        <v>1150</v>
      </c>
      <c r="L39" s="157" t="s">
        <v>1138</v>
      </c>
      <c r="M39" s="85">
        <v>14</v>
      </c>
    </row>
    <row customHeight="1" ht="15.75">
      <c r="A40" s="1685" t="s">
        <v>113</v>
      </c>
      <c r="C40" s="98"/>
      <c r="D40" s="111"/>
      <c r="E40" s="206" t="s">
        <v>331</v>
      </c>
      <c r="F40" s="202"/>
      <c r="G40" s="202"/>
      <c r="H40" s="203"/>
      <c r="I40" s="2173"/>
      <c r="M40" s="85">
        <v>15</v>
      </c>
    </row>
    <row s="1825" customFormat="1" customHeight="1" ht="3">
      <c r="A41" s="1685"/>
      <c r="K41" s="198"/>
      <c r="L41" s="198"/>
      <c r="M41" s="142">
        <v>3</v>
      </c>
    </row>
    <row customHeight="1" ht="26.25">
      <c r="D42" s="1683" t="s">
        <v>811</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7"/>
      <c r="G42" s="2287"/>
      <c r="H42" s="2287"/>
      <c r="I42" s="2287"/>
      <c r="M42" s="85">
        <v>25</v>
      </c>
    </row>
    <row customHeight="1" ht="22.5" hidden="1">
      <c r="A43" s="1364" t="s">
        <v>84</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07CB7B-6357-1FA3-2848-0.882178AF}" mc:Ignorable="x14ac xr xr2 xr3">
  <sheetPr>
    <tabColor theme="6" tint="0.4"/>
  </sheetPr>
  <dimension ref="A1:AH352"/>
  <sheetViews>
    <sheetView topLeftCell="A1" showGridLines="0" zoomScale="90" workbookViewId="0">
      <selection activeCell="K225" sqref="K225"/>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0</v>
      </c>
      <c r="O1" s="1626"/>
      <c r="P1" s="1626"/>
      <c r="T1" s="833"/>
      <c r="AG1" s="257"/>
      <c r="AH1" s="1633" t="s">
        <v>14</v>
      </c>
    </row>
    <row s="1637" customFormat="1" customHeight="1" ht="18.75" hidden="1">
      <c r="A2" s="1782" t="s">
        <v>157</v>
      </c>
      <c r="B2" s="1782" t="s">
        <v>158</v>
      </c>
      <c r="C2" s="371"/>
      <c r="D2" s="346"/>
      <c r="E2" s="1033"/>
      <c r="F2" s="1033"/>
      <c r="G2" s="2429" t="str">
        <f>INDEX(PT_DIFFERENTIATION_NTAR,MATCH(B2,PT_DIFFERENTIATION_NTAR_ID,0))</f>
        <v/>
      </c>
      <c r="H2" s="1866"/>
      <c r="I2" s="1741"/>
      <c r="J2" s="1775"/>
      <c r="K2" s="1867"/>
      <c r="L2" s="1866" t="s">
        <v>315</v>
      </c>
      <c r="M2" s="1877"/>
      <c r="N2" s="336"/>
      <c r="O2" s="1626"/>
      <c r="P2" s="1626"/>
      <c r="AH2" s="1633">
        <v>0</v>
      </c>
    </row>
    <row s="1637" customFormat="1" customHeight="1" ht="18.75" hidden="1">
      <c r="A3" s="1782"/>
      <c r="B3" s="1782"/>
      <c r="C3" s="371" t="s">
        <v>1151</v>
      </c>
      <c r="D3" s="346"/>
      <c r="E3" s="1033"/>
      <c r="F3" s="1033"/>
      <c r="G3" s="2429"/>
      <c r="H3" s="1502"/>
      <c r="I3" s="653" t="s">
        <v>1152</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0</v>
      </c>
      <c r="O4" s="1626"/>
      <c r="P4" s="1626"/>
      <c r="T4" s="833"/>
      <c r="AG4" s="257"/>
      <c r="AH4" s="1633">
        <v>0</v>
      </c>
    </row>
    <row s="1637" customFormat="1" customHeight="1" ht="18.75" hidden="1">
      <c r="A5" s="1782" t="s">
        <v>157</v>
      </c>
      <c r="B5" s="1782" t="s">
        <v>158</v>
      </c>
      <c r="C5" s="371"/>
      <c r="D5" s="346"/>
      <c r="E5" s="1033"/>
      <c r="F5" s="1033"/>
      <c r="G5" s="2429" t="str">
        <f>INDEX(PT_DIFFERENTIATION_NTAR,MATCH(B5,PT_DIFFERENTIATION_NTAR_ID,0))</f>
        <v/>
      </c>
      <c r="H5" s="1866"/>
      <c r="I5" s="1741"/>
      <c r="J5" s="1775"/>
      <c r="K5" s="1780"/>
      <c r="L5" s="1866" t="s">
        <v>315</v>
      </c>
      <c r="M5" s="1877"/>
      <c r="N5" s="336"/>
      <c r="O5" s="1626"/>
      <c r="P5" s="1626"/>
      <c r="AH5" s="1633">
        <v>0</v>
      </c>
    </row>
    <row s="1637" customFormat="1" customHeight="1" ht="18.75" hidden="1">
      <c r="A6" s="1782"/>
      <c r="B6" s="1782"/>
      <c r="C6" s="371" t="s">
        <v>1153</v>
      </c>
      <c r="D6" s="346"/>
      <c r="E6" s="1033"/>
      <c r="F6" s="1033"/>
      <c r="G6" s="2429"/>
      <c r="H6" s="1502"/>
      <c r="I6" s="653" t="s">
        <v>1152</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0</v>
      </c>
      <c r="O7" s="1626"/>
      <c r="P7" s="1626"/>
      <c r="T7" s="833"/>
      <c r="AG7" s="257"/>
      <c r="AH7" s="1633">
        <v>0</v>
      </c>
    </row>
    <row s="1637" customFormat="1" customHeight="1" ht="56.25" hidden="1">
      <c r="A8" s="1782"/>
      <c r="B8" s="1782"/>
      <c r="C8" s="371"/>
      <c r="D8" s="346"/>
      <c r="E8" s="1033"/>
      <c r="F8" s="1033"/>
      <c r="G8" s="1033"/>
      <c r="H8" s="1773"/>
      <c r="I8" s="1741"/>
      <c r="J8" s="1775"/>
      <c r="K8" s="1867"/>
      <c r="L8" s="1773" t="s">
        <v>315</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315</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изменении тарифов</v>
      </c>
      <c r="G16" s="2266" t="str">
        <f>IF(TITLE_DATE_PR_CHANGE="",IF(TITLE_DATE_PR="","",TITLE_DATE_PR),TITLE_DATE_PR_CHANGE)</f>
        <v>46141.35650462963</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изменении тарифов</v>
      </c>
      <c r="G17" s="2253" t="str">
        <f>IF(TITLE_NUMBER_PR_CHANGE="",IF(TITLE_NUMBER_PR="","",TITLE_NUMBER_PR),TITLE_NUMBER_PR_CHANGE)</f>
        <v>вх. О-1106 (исх. №382 от 29.04.2026)</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309</v>
      </c>
      <c r="F19" s="2211"/>
      <c r="G19" s="2211"/>
      <c r="H19" s="2211"/>
      <c r="I19" s="2211"/>
      <c r="J19" s="2211"/>
      <c r="K19" s="2211"/>
      <c r="L19" s="2211"/>
      <c r="M19" s="2391" t="s">
        <v>310</v>
      </c>
      <c r="AH19" s="376">
        <v>21</v>
      </c>
    </row>
    <row customHeight="1" ht="21.75">
      <c r="D20" s="378"/>
      <c r="E20" s="2279" t="s">
        <v>90</v>
      </c>
      <c r="F20" s="2226" t="s">
        <v>124</v>
      </c>
      <c r="G20" s="2226" t="s">
        <v>125</v>
      </c>
      <c r="H20" s="2388" t="s">
        <v>1154</v>
      </c>
      <c r="I20" s="2389"/>
      <c r="J20" s="2435"/>
      <c r="K20" s="2226" t="s">
        <v>312</v>
      </c>
      <c r="L20" s="2226" t="s">
        <v>399</v>
      </c>
      <c r="M20" s="2391"/>
      <c r="AH20" s="376">
        <v>21</v>
      </c>
    </row>
    <row customHeight="1" ht="21.75">
      <c r="D21" s="378"/>
      <c r="E21" s="2281"/>
      <c r="F21" s="2227"/>
      <c r="G21" s="2227"/>
      <c r="H21" s="2220" t="s">
        <v>1155</v>
      </c>
      <c r="I21" s="2222"/>
      <c r="J21" s="110" t="s">
        <v>1156</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111</v>
      </c>
      <c r="F23" s="2470" t="str">
        <f>"Предлагаемый метод регулирования"&amp;IF(TEMPLATE_SPHERE="HEAT"," в сфере "&amp;TEMPLATE_SPHERE_RUS,"")</f>
        <v>Предлагаемый метод регулирования в сфере теплоснабжения</v>
      </c>
      <c r="G23" s="2471"/>
      <c r="H23" s="2463"/>
      <c r="I23" s="2463"/>
      <c r="J23" s="2463"/>
      <c r="K23" s="2471" t="s">
        <v>315</v>
      </c>
      <c r="L23" s="2463"/>
      <c r="M23" s="1771"/>
      <c r="N23" s="336"/>
      <c r="AH23" s="376">
        <v>19</v>
      </c>
    </row>
    <row customHeight="1" ht="60.75" hidden="1">
      <c r="A24" s="1782" t="s">
        <v>157</v>
      </c>
      <c r="B24" s="1782" t="s">
        <v>158</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315</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1151</v>
      </c>
      <c r="D25" s="2468"/>
      <c r="E25" s="2206"/>
      <c r="F25" s="2472"/>
      <c r="G25" s="2429"/>
      <c r="H25" s="1502"/>
      <c r="I25" s="653" t="s">
        <v>1152</v>
      </c>
      <c r="J25" s="573"/>
      <c r="K25" s="1502"/>
      <c r="L25" s="216"/>
      <c r="M25" s="2172"/>
      <c r="N25" s="336"/>
      <c r="O25" s="1626"/>
      <c r="P25" s="1626"/>
      <c r="AH25" s="1633">
        <v>0</v>
      </c>
    </row>
    <row customHeight="1" ht="0.75" hidden="1">
      <c r="A26" s="1782"/>
      <c r="B26" s="1782"/>
      <c r="C26" s="371" t="s">
        <v>1157</v>
      </c>
      <c r="D26" s="2468"/>
      <c r="E26" s="2206"/>
      <c r="F26" s="2385"/>
      <c r="G26" s="402"/>
      <c r="H26" s="1502"/>
      <c r="I26" s="397"/>
      <c r="J26" s="351"/>
      <c r="K26" s="1502"/>
      <c r="L26" s="203"/>
      <c r="M26" s="2172"/>
      <c r="N26" s="336"/>
      <c r="AH26" s="376">
        <v>0</v>
      </c>
    </row>
    <row s="1637" customFormat="1" customHeight="1" ht="45">
      <c r="A27" s="1782" t="s">
        <v>167</v>
      </c>
      <c r="B27" s="1782" t="s">
        <v>168</v>
      </c>
      <c r="C27" s="371"/>
      <c r="D27" s="2464"/>
      <c r="E27" s="2465"/>
      <c r="F27" s="2466" t="str">
        <f>INDEX(PT_DIFFERENTIATION_VTAR,MATCH(A27,PT_DIFFERENTIATION_VTAR_ID,0))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 s="2429" t="str">
        <f>INDEX(PT_DIFFERENTIATION_NTAR,MATCH(B27,PT_DIFFERENTIATION_NTAR_ID,0))</f>
        <v>Тариф на тепловую энергию</v>
      </c>
      <c r="H27" s="1864"/>
      <c r="I27" s="1741">
        <v>45658</v>
      </c>
      <c r="J27" s="1775">
        <v>46022</v>
      </c>
      <c r="K27" s="1867" t="s">
        <v>1158</v>
      </c>
      <c r="L27" s="1864" t="s">
        <v>315</v>
      </c>
      <c r="M27" s="2172"/>
      <c r="N27" s="336"/>
      <c r="O27" s="1626"/>
      <c r="P27" s="1626"/>
      <c r="AH27" s="1633">
        <v>0</v>
      </c>
    </row>
    <row s="1637" customFormat="1" customHeight="1" ht="56.25">
      <c r="A28" s="1825"/>
      <c r="B28" s="1825"/>
      <c r="C28" s="1689"/>
      <c r="D28" s="346"/>
      <c r="E28" s="1033"/>
      <c r="F28" s="1033"/>
      <c r="G28" s="1033"/>
      <c r="H28" s="2273" t="s">
        <v>454</v>
      </c>
      <c r="I28" s="1741">
        <v>46023</v>
      </c>
      <c r="J28" s="1775">
        <v>46387</v>
      </c>
      <c r="K28" s="2307" t="s">
        <v>1158</v>
      </c>
      <c r="L28" s="2273" t="s">
        <v>315</v>
      </c>
      <c r="M28" s="2320"/>
      <c r="N28" s="620"/>
      <c r="O28" s="1626"/>
      <c r="P28" s="1626"/>
      <c r="Q28" s="1637"/>
      <c r="R28" s="1637"/>
      <c r="S28" s="1637"/>
      <c r="T28" s="1637"/>
      <c r="U28" s="1637"/>
      <c r="V28" s="1637"/>
      <c r="W28" s="1637"/>
      <c r="X28" s="1637"/>
      <c r="Y28" s="1637"/>
      <c r="Z28" s="1637"/>
      <c r="AA28" s="1637"/>
      <c r="AB28" s="1637"/>
      <c r="AC28" s="1637"/>
      <c r="AD28" s="1637"/>
      <c r="AE28" s="1637"/>
      <c r="AF28" s="1637"/>
      <c r="AG28" s="1637"/>
      <c r="AH28" s="1637">
        <v>0</v>
      </c>
    </row>
    <row s="1637" customFormat="1" customHeight="1" ht="56.25">
      <c r="A29" s="1825"/>
      <c r="B29" s="1825"/>
      <c r="C29" s="1689"/>
      <c r="D29" s="346"/>
      <c r="E29" s="1033"/>
      <c r="F29" s="1033"/>
      <c r="G29" s="1033"/>
      <c r="H29" s="2273" t="s">
        <v>454</v>
      </c>
      <c r="I29" s="1741">
        <v>46388</v>
      </c>
      <c r="J29" s="1775">
        <v>46752</v>
      </c>
      <c r="K29" s="2307" t="s">
        <v>1158</v>
      </c>
      <c r="L29" s="2273" t="s">
        <v>315</v>
      </c>
      <c r="M29" s="2320"/>
      <c r="N29" s="620"/>
      <c r="O29" s="1626"/>
      <c r="P29" s="1626"/>
      <c r="Q29" s="1637"/>
      <c r="R29" s="1637"/>
      <c r="S29" s="1637"/>
      <c r="T29" s="1637"/>
      <c r="U29" s="1637"/>
      <c r="V29" s="1637"/>
      <c r="W29" s="1637"/>
      <c r="X29" s="1637"/>
      <c r="Y29" s="1637"/>
      <c r="Z29" s="1637"/>
      <c r="AA29" s="1637"/>
      <c r="AB29" s="1637"/>
      <c r="AC29" s="1637"/>
      <c r="AD29" s="1637"/>
      <c r="AE29" s="1637"/>
      <c r="AF29" s="1637"/>
      <c r="AG29" s="1637"/>
      <c r="AH29" s="1637">
        <v>0</v>
      </c>
    </row>
    <row s="1637" customFormat="1" customHeight="1" ht="56.25">
      <c r="A30" s="1825"/>
      <c r="B30" s="1825"/>
      <c r="C30" s="1689"/>
      <c r="D30" s="346"/>
      <c r="E30" s="1033"/>
      <c r="F30" s="1033"/>
      <c r="G30" s="1033"/>
      <c r="H30" s="2273" t="s">
        <v>454</v>
      </c>
      <c r="I30" s="1741">
        <v>46753</v>
      </c>
      <c r="J30" s="1775">
        <v>47118</v>
      </c>
      <c r="K30" s="2307" t="s">
        <v>1158</v>
      </c>
      <c r="L30" s="2273" t="s">
        <v>315</v>
      </c>
      <c r="M30" s="2320"/>
      <c r="N30" s="620"/>
      <c r="O30" s="1626"/>
      <c r="P30" s="1626"/>
      <c r="Q30" s="1637"/>
      <c r="R30" s="1637"/>
      <c r="S30" s="1637"/>
      <c r="T30" s="1637"/>
      <c r="U30" s="1637"/>
      <c r="V30" s="1637"/>
      <c r="W30" s="1637"/>
      <c r="X30" s="1637"/>
      <c r="Y30" s="1637"/>
      <c r="Z30" s="1637"/>
      <c r="AA30" s="1637"/>
      <c r="AB30" s="1637"/>
      <c r="AC30" s="1637"/>
      <c r="AD30" s="1637"/>
      <c r="AE30" s="1637"/>
      <c r="AF30" s="1637"/>
      <c r="AG30" s="1637"/>
      <c r="AH30" s="1637">
        <v>0</v>
      </c>
    </row>
    <row s="1637" customFormat="1" customHeight="1" ht="56.25">
      <c r="A31" s="1825"/>
      <c r="B31" s="1825"/>
      <c r="C31" s="1689"/>
      <c r="D31" s="346"/>
      <c r="E31" s="1033"/>
      <c r="F31" s="1033"/>
      <c r="G31" s="1033"/>
      <c r="H31" s="2273" t="s">
        <v>454</v>
      </c>
      <c r="I31" s="1741">
        <v>47119</v>
      </c>
      <c r="J31" s="1775">
        <v>47483</v>
      </c>
      <c r="K31" s="2307" t="s">
        <v>1158</v>
      </c>
      <c r="L31" s="2273" t="s">
        <v>315</v>
      </c>
      <c r="M31" s="2320"/>
      <c r="N31" s="620"/>
      <c r="O31" s="1626"/>
      <c r="P31" s="1626"/>
      <c r="Q31" s="1637"/>
      <c r="R31" s="1637"/>
      <c r="S31" s="1637"/>
      <c r="T31" s="1637"/>
      <c r="U31" s="1637"/>
      <c r="V31" s="1637"/>
      <c r="W31" s="1637"/>
      <c r="X31" s="1637"/>
      <c r="Y31" s="1637"/>
      <c r="Z31" s="1637"/>
      <c r="AA31" s="1637"/>
      <c r="AB31" s="1637"/>
      <c r="AC31" s="1637"/>
      <c r="AD31" s="1637"/>
      <c r="AE31" s="1637"/>
      <c r="AF31" s="1637"/>
      <c r="AG31" s="1637"/>
      <c r="AH31" s="1637">
        <v>0</v>
      </c>
    </row>
    <row s="1637" customFormat="1" customHeight="1" ht="18.75">
      <c r="A32" s="1782"/>
      <c r="B32" s="1782"/>
      <c r="C32" s="371" t="s">
        <v>1151</v>
      </c>
      <c r="D32" s="2464"/>
      <c r="E32" s="2465"/>
      <c r="F32" s="2466"/>
      <c r="G32" s="2429"/>
      <c r="H32" s="1502"/>
      <c r="I32" s="653" t="s">
        <v>1152</v>
      </c>
      <c r="J32" s="573"/>
      <c r="K32" s="1502"/>
      <c r="L32" s="216"/>
      <c r="M32" s="2172"/>
      <c r="N32" s="336"/>
      <c r="O32" s="1626"/>
      <c r="P32" s="1626"/>
      <c r="AH32" s="1633">
        <v>0</v>
      </c>
    </row>
    <row s="1637" customFormat="1" customHeight="1" ht="0.75">
      <c r="A33" s="1782"/>
      <c r="B33" s="1782"/>
      <c r="C33" s="371" t="s">
        <v>1157</v>
      </c>
      <c r="D33" s="2464"/>
      <c r="E33" s="2206"/>
      <c r="F33" s="2385"/>
      <c r="G33" s="402"/>
      <c r="H33" s="1502"/>
      <c r="I33" s="653"/>
      <c r="J33" s="573"/>
      <c r="K33" s="1502"/>
      <c r="L33" s="216"/>
      <c r="M33" s="2172"/>
      <c r="N33" s="336"/>
      <c r="O33" s="1626"/>
      <c r="P33" s="1626"/>
      <c r="AH33" s="1633">
        <v>0</v>
      </c>
    </row>
    <row s="1637" customFormat="1" customHeight="1" ht="45" hidden="1">
      <c r="A34" s="1782" t="s">
        <v>178</v>
      </c>
      <c r="B34" s="1782" t="s">
        <v>179</v>
      </c>
      <c r="C34" s="371"/>
      <c r="D34" s="2464"/>
      <c r="E34" s="2206"/>
      <c r="F34" s="2385" t="str">
        <f>INDEX(PT_DIFFERENTIATION_VTAR,MATCH(A34,PT_DIFFERENTIATION_VTAR_ID,0))</f>
        <v>Тарифы на теплоноситель, поставляемый теплоснабжающими организациями потребителям, другим теплоснабжающим организациям</v>
      </c>
      <c r="G34" s="2429" t="str">
        <f>INDEX(PT_DIFFERENTIATION_NTAR,MATCH(B34,PT_DIFFERENTIATION_NTAR_ID,0))</f>
        <v/>
      </c>
      <c r="H34" s="1864"/>
      <c r="I34" s="1741"/>
      <c r="J34" s="1775"/>
      <c r="K34" s="1867"/>
      <c r="L34" s="1864" t="s">
        <v>315</v>
      </c>
      <c r="M34" s="2172"/>
      <c r="N34" s="336"/>
      <c r="O34" s="1626"/>
      <c r="P34" s="1626"/>
      <c r="AH34" s="1633">
        <v>0</v>
      </c>
    </row>
    <row s="1637" customFormat="1" customHeight="1" ht="18.75" hidden="1">
      <c r="A35" s="1782"/>
      <c r="B35" s="1782"/>
      <c r="C35" s="371" t="s">
        <v>1151</v>
      </c>
      <c r="D35" s="2464"/>
      <c r="E35" s="2206"/>
      <c r="F35" s="2385"/>
      <c r="G35" s="2429"/>
      <c r="H35" s="1502"/>
      <c r="I35" s="653" t="s">
        <v>1152</v>
      </c>
      <c r="J35" s="573"/>
      <c r="K35" s="1502"/>
      <c r="L35" s="216"/>
      <c r="M35" s="2172"/>
      <c r="N35" s="336"/>
      <c r="O35" s="1626"/>
      <c r="P35" s="1626"/>
      <c r="AH35" s="1633">
        <v>0</v>
      </c>
    </row>
    <row s="1637" customFormat="1" customHeight="1" ht="0.75" hidden="1">
      <c r="A36" s="1782"/>
      <c r="B36" s="1782"/>
      <c r="C36" s="371" t="s">
        <v>1157</v>
      </c>
      <c r="D36" s="2464"/>
      <c r="E36" s="2206"/>
      <c r="F36" s="2385"/>
      <c r="G36" s="402"/>
      <c r="H36" s="1502"/>
      <c r="I36" s="653"/>
      <c r="J36" s="573"/>
      <c r="K36" s="1502"/>
      <c r="L36" s="216"/>
      <c r="M36" s="2172"/>
      <c r="N36" s="336"/>
      <c r="O36" s="1626"/>
      <c r="P36" s="1626"/>
      <c r="AH36" s="1633">
        <v>0</v>
      </c>
    </row>
    <row s="1637" customFormat="1" customHeight="1" ht="45" hidden="1">
      <c r="A37" s="1782" t="s">
        <v>184</v>
      </c>
      <c r="B37" s="1782" t="s">
        <v>185</v>
      </c>
      <c r="C37" s="371"/>
      <c r="D37" s="2464"/>
      <c r="E37" s="2206"/>
      <c r="F37" s="2385" t="str">
        <f>INDEX(PT_DIFFERENTIATION_VTAR,MATCH(A37,PT_DIFFERENTIATION_VTAR_ID,0))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7" s="2429" t="str">
        <f>INDEX(PT_DIFFERENTIATION_NTAR,MATCH(B37,PT_DIFFERENTIATION_NTAR_ID,0))</f>
        <v/>
      </c>
      <c r="H37" s="1864"/>
      <c r="I37" s="1741"/>
      <c r="J37" s="1775"/>
      <c r="K37" s="1867"/>
      <c r="L37" s="1864" t="s">
        <v>315</v>
      </c>
      <c r="M37" s="2172"/>
      <c r="N37" s="336"/>
      <c r="O37" s="1626"/>
      <c r="P37" s="1626"/>
      <c r="AH37" s="1633">
        <v>0</v>
      </c>
    </row>
    <row s="1637" customFormat="1" customHeight="1" ht="18.75" hidden="1">
      <c r="A38" s="1782"/>
      <c r="B38" s="1782"/>
      <c r="C38" s="371" t="s">
        <v>1151</v>
      </c>
      <c r="D38" s="2464"/>
      <c r="E38" s="2206"/>
      <c r="F38" s="2385"/>
      <c r="G38" s="2429"/>
      <c r="H38" s="1502"/>
      <c r="I38" s="653" t="s">
        <v>1152</v>
      </c>
      <c r="J38" s="573"/>
      <c r="K38" s="1502"/>
      <c r="L38" s="216"/>
      <c r="M38" s="2172"/>
      <c r="N38" s="336"/>
      <c r="O38" s="1626"/>
      <c r="P38" s="1626"/>
      <c r="AH38" s="1633">
        <v>0</v>
      </c>
    </row>
    <row s="1637" customFormat="1" customHeight="1" ht="0.75" hidden="1">
      <c r="A39" s="1782"/>
      <c r="B39" s="1782"/>
      <c r="C39" s="371" t="s">
        <v>1157</v>
      </c>
      <c r="D39" s="2464"/>
      <c r="E39" s="2206"/>
      <c r="F39" s="2385"/>
      <c r="G39" s="402"/>
      <c r="H39" s="1502"/>
      <c r="I39" s="653"/>
      <c r="J39" s="573"/>
      <c r="K39" s="1502"/>
      <c r="L39" s="216"/>
      <c r="M39" s="2172"/>
      <c r="N39" s="336"/>
      <c r="O39" s="1626"/>
      <c r="P39" s="1626"/>
      <c r="AH39" s="1633">
        <v>0</v>
      </c>
    </row>
    <row s="1637" customFormat="1" customHeight="1" ht="18.75" hidden="1">
      <c r="A40" s="1782" t="s">
        <v>190</v>
      </c>
      <c r="B40" s="1782" t="s">
        <v>191</v>
      </c>
      <c r="C40" s="371"/>
      <c r="D40" s="2464"/>
      <c r="E40" s="2206"/>
      <c r="F40" s="2385" t="str">
        <f>INDEX(PT_DIFFERENTIATION_VTAR,MATCH(A40,PT_DIFFERENTIATION_VTAR_ID,0))</f>
        <v>Тарифы на услуги по передаче тепловой энергии</v>
      </c>
      <c r="G40" s="2429" t="str">
        <f>INDEX(PT_DIFFERENTIATION_NTAR,MATCH(B40,PT_DIFFERENTIATION_NTAR_ID,0))</f>
        <v/>
      </c>
      <c r="H40" s="1864"/>
      <c r="I40" s="1741"/>
      <c r="J40" s="1775"/>
      <c r="K40" s="1867"/>
      <c r="L40" s="1864" t="s">
        <v>315</v>
      </c>
      <c r="M40" s="2172"/>
      <c r="N40" s="336"/>
      <c r="O40" s="1626"/>
      <c r="P40" s="1626"/>
      <c r="AH40" s="1633">
        <v>0</v>
      </c>
    </row>
    <row s="1637" customFormat="1" customHeight="1" ht="18.75" hidden="1">
      <c r="A41" s="1782"/>
      <c r="B41" s="1782"/>
      <c r="C41" s="371" t="s">
        <v>1151</v>
      </c>
      <c r="D41" s="2464"/>
      <c r="E41" s="2206"/>
      <c r="F41" s="2385"/>
      <c r="G41" s="2429"/>
      <c r="H41" s="1502"/>
      <c r="I41" s="653" t="s">
        <v>1152</v>
      </c>
      <c r="J41" s="573"/>
      <c r="K41" s="1502"/>
      <c r="L41" s="216"/>
      <c r="M41" s="2172"/>
      <c r="N41" s="336"/>
      <c r="O41" s="1626"/>
      <c r="P41" s="1626"/>
      <c r="AH41" s="1633">
        <v>0</v>
      </c>
    </row>
    <row s="1637" customFormat="1" customHeight="1" ht="0.75" hidden="1">
      <c r="A42" s="1782"/>
      <c r="B42" s="1782"/>
      <c r="C42" s="371" t="s">
        <v>1157</v>
      </c>
      <c r="D42" s="2464"/>
      <c r="E42" s="2206"/>
      <c r="F42" s="2385"/>
      <c r="G42" s="402"/>
      <c r="H42" s="1502"/>
      <c r="I42" s="653"/>
      <c r="J42" s="573"/>
      <c r="K42" s="1502"/>
      <c r="L42" s="216"/>
      <c r="M42" s="2172"/>
      <c r="N42" s="336"/>
      <c r="O42" s="1626"/>
      <c r="P42" s="1626"/>
      <c r="AH42" s="1633">
        <v>0</v>
      </c>
    </row>
    <row s="1637" customFormat="1" customHeight="1" ht="18.75" hidden="1">
      <c r="A43" s="1782" t="s">
        <v>196</v>
      </c>
      <c r="B43" s="1782" t="s">
        <v>197</v>
      </c>
      <c r="C43" s="371"/>
      <c r="D43" s="2464"/>
      <c r="E43" s="2206"/>
      <c r="F43" s="2385" t="str">
        <f>INDEX(PT_DIFFERENTIATION_VTAR,MATCH(A43,PT_DIFFERENTIATION_VTAR_ID,0))</f>
        <v>Тарифы на услуги по передаче теплоносителя</v>
      </c>
      <c r="G43" s="2429" t="str">
        <f>INDEX(PT_DIFFERENTIATION_NTAR,MATCH(B43,PT_DIFFERENTIATION_NTAR_ID,0))</f>
        <v/>
      </c>
      <c r="H43" s="1864"/>
      <c r="I43" s="1741"/>
      <c r="J43" s="1775"/>
      <c r="K43" s="1867"/>
      <c r="L43" s="1864" t="s">
        <v>315</v>
      </c>
      <c r="M43" s="2172"/>
      <c r="N43" s="336"/>
      <c r="O43" s="1626"/>
      <c r="P43" s="1626"/>
      <c r="AH43" s="1633">
        <v>0</v>
      </c>
    </row>
    <row s="1637" customFormat="1" customHeight="1" ht="18.75" hidden="1">
      <c r="A44" s="1782"/>
      <c r="B44" s="1782"/>
      <c r="C44" s="371" t="s">
        <v>1151</v>
      </c>
      <c r="D44" s="2464"/>
      <c r="E44" s="2206"/>
      <c r="F44" s="2385"/>
      <c r="G44" s="2429"/>
      <c r="H44" s="1502"/>
      <c r="I44" s="653" t="s">
        <v>1152</v>
      </c>
      <c r="J44" s="573"/>
      <c r="K44" s="1502"/>
      <c r="L44" s="216"/>
      <c r="M44" s="2172"/>
      <c r="N44" s="336"/>
      <c r="O44" s="1626"/>
      <c r="P44" s="1626"/>
      <c r="AH44" s="1633">
        <v>0</v>
      </c>
    </row>
    <row s="1637" customFormat="1" customHeight="1" ht="0.75" hidden="1">
      <c r="A45" s="1782"/>
      <c r="B45" s="1782"/>
      <c r="C45" s="371" t="s">
        <v>1157</v>
      </c>
      <c r="D45" s="2464"/>
      <c r="E45" s="2206"/>
      <c r="F45" s="2385"/>
      <c r="G45" s="402"/>
      <c r="H45" s="1502"/>
      <c r="I45" s="653"/>
      <c r="J45" s="573"/>
      <c r="K45" s="1502"/>
      <c r="L45" s="216"/>
      <c r="M45" s="2172"/>
      <c r="N45" s="336"/>
      <c r="O45" s="1626"/>
      <c r="P45" s="1626"/>
      <c r="AH45" s="1633">
        <v>0</v>
      </c>
    </row>
    <row s="1637" customFormat="1" customHeight="1" ht="18.75" hidden="1">
      <c r="A46" s="1782" t="s">
        <v>202</v>
      </c>
      <c r="B46" s="1782" t="s">
        <v>203</v>
      </c>
      <c r="C46" s="371"/>
      <c r="D46" s="2464"/>
      <c r="E46" s="2206"/>
      <c r="F46" s="2385" t="str">
        <f>INDEX(PT_DIFFERENTIATION_VTAR,MATCH(A46,PT_DIFFERENTIATION_VTAR_ID,0))</f>
        <v>Плата за услуги по поддержанию резервной тепловой мощности при отсутствии потребления тепловой энергии</v>
      </c>
      <c r="G46" s="2429" t="str">
        <f>INDEX(PT_DIFFERENTIATION_NTAR,MATCH(B46,PT_DIFFERENTIATION_NTAR_ID,0))</f>
        <v/>
      </c>
      <c r="H46" s="1864"/>
      <c r="I46" s="1741"/>
      <c r="J46" s="1775"/>
      <c r="K46" s="1867"/>
      <c r="L46" s="1864" t="s">
        <v>315</v>
      </c>
      <c r="M46" s="2172"/>
      <c r="N46" s="336"/>
      <c r="O46" s="1626"/>
      <c r="P46" s="1626"/>
      <c r="AH46" s="1633">
        <v>0</v>
      </c>
    </row>
    <row s="1637" customFormat="1" customHeight="1" ht="18.75" hidden="1">
      <c r="A47" s="1782"/>
      <c r="B47" s="1782"/>
      <c r="C47" s="371" t="s">
        <v>1151</v>
      </c>
      <c r="D47" s="2464"/>
      <c r="E47" s="2206"/>
      <c r="F47" s="2385"/>
      <c r="G47" s="2429"/>
      <c r="H47" s="1502"/>
      <c r="I47" s="653" t="s">
        <v>1152</v>
      </c>
      <c r="J47" s="573"/>
      <c r="K47" s="1502"/>
      <c r="L47" s="216"/>
      <c r="M47" s="2172"/>
      <c r="N47" s="336"/>
      <c r="O47" s="1626"/>
      <c r="P47" s="1626"/>
      <c r="AH47" s="1633">
        <v>0</v>
      </c>
    </row>
    <row s="1637" customFormat="1" customHeight="1" ht="0.75" hidden="1">
      <c r="A48" s="1782"/>
      <c r="B48" s="1782"/>
      <c r="C48" s="371" t="s">
        <v>1157</v>
      </c>
      <c r="D48" s="2464"/>
      <c r="E48" s="2206"/>
      <c r="F48" s="2385"/>
      <c r="G48" s="402"/>
      <c r="H48" s="1502"/>
      <c r="I48" s="653"/>
      <c r="J48" s="573"/>
      <c r="K48" s="1502"/>
      <c r="L48" s="216"/>
      <c r="M48" s="2172"/>
      <c r="N48" s="336"/>
      <c r="O48" s="1626"/>
      <c r="P48" s="1626"/>
      <c r="AH48" s="1633">
        <v>0</v>
      </c>
    </row>
    <row s="1637" customFormat="1" customHeight="1" ht="18.75" hidden="1">
      <c r="A49" s="1782" t="s">
        <v>208</v>
      </c>
      <c r="B49" s="1782" t="s">
        <v>209</v>
      </c>
      <c r="C49" s="371"/>
      <c r="D49" s="2464"/>
      <c r="E49" s="2206"/>
      <c r="F49" s="2385" t="str">
        <f>INDEX(PT_DIFFERENTIATION_VTAR,MATCH(A49,PT_DIFFERENTIATION_VTAR_ID,0))</f>
        <v>Плата за подключение (технологическое присоединение) к системе теплоснабжения</v>
      </c>
      <c r="G49" s="2429" t="str">
        <f>INDEX(PT_DIFFERENTIATION_NTAR,MATCH(B49,PT_DIFFERENTIATION_NTAR_ID,0))</f>
        <v/>
      </c>
      <c r="H49" s="1864"/>
      <c r="I49" s="1741"/>
      <c r="J49" s="1775"/>
      <c r="K49" s="1867"/>
      <c r="L49" s="1864" t="s">
        <v>315</v>
      </c>
      <c r="M49" s="2172"/>
      <c r="N49" s="336"/>
      <c r="O49" s="1626"/>
      <c r="P49" s="1626"/>
      <c r="AH49" s="1633">
        <v>0</v>
      </c>
    </row>
    <row s="1637" customFormat="1" customHeight="1" ht="18.75" hidden="1">
      <c r="A50" s="1782"/>
      <c r="B50" s="1782"/>
      <c r="C50" s="371" t="s">
        <v>1151</v>
      </c>
      <c r="D50" s="2464"/>
      <c r="E50" s="2206"/>
      <c r="F50" s="2385"/>
      <c r="G50" s="2429"/>
      <c r="H50" s="1502"/>
      <c r="I50" s="653" t="s">
        <v>1152</v>
      </c>
      <c r="J50" s="573"/>
      <c r="K50" s="1502"/>
      <c r="L50" s="216"/>
      <c r="M50" s="2172"/>
      <c r="N50" s="336"/>
      <c r="O50" s="1626"/>
      <c r="P50" s="1626"/>
      <c r="AH50" s="1633">
        <v>0</v>
      </c>
    </row>
    <row s="1637" customFormat="1" customHeight="1" ht="0.75" hidden="1">
      <c r="A51" s="1782"/>
      <c r="B51" s="1782"/>
      <c r="C51" s="371" t="s">
        <v>1157</v>
      </c>
      <c r="D51" s="2464"/>
      <c r="E51" s="2206"/>
      <c r="F51" s="2385"/>
      <c r="G51" s="402"/>
      <c r="H51" s="1502"/>
      <c r="I51" s="653"/>
      <c r="J51" s="573"/>
      <c r="K51" s="1502"/>
      <c r="L51" s="216"/>
      <c r="M51" s="2172"/>
      <c r="N51" s="336"/>
      <c r="O51" s="1626"/>
      <c r="P51" s="1626"/>
      <c r="AH51" s="1633">
        <v>0</v>
      </c>
    </row>
    <row s="1637" customFormat="1" customHeight="1" ht="18.75" hidden="1">
      <c r="A52" s="1782" t="s">
        <v>214</v>
      </c>
      <c r="B52" s="1782" t="s">
        <v>215</v>
      </c>
      <c r="C52" s="371"/>
      <c r="D52" s="2464"/>
      <c r="E52" s="2206"/>
      <c r="F52" s="2385" t="str">
        <f>INDEX(PT_DIFFERENTIATION_VTAR,MATCH(A52,PT_DIFFERENTIATION_VTAR_ID,0))</f>
        <v>Плата за подключение (технологическое присоединение) к системе теплоснабжения (индивидуальная)</v>
      </c>
      <c r="G52" s="2429" t="str">
        <f>INDEX(PT_DIFFERENTIATION_NTAR,MATCH(B52,PT_DIFFERENTIATION_NTAR_ID,0))</f>
        <v/>
      </c>
      <c r="H52" s="1991"/>
      <c r="I52" s="1741"/>
      <c r="J52" s="1775"/>
      <c r="K52" s="1867"/>
      <c r="L52" s="1991" t="s">
        <v>315</v>
      </c>
      <c r="M52" s="2172"/>
      <c r="N52" s="336"/>
      <c r="O52" s="1626"/>
      <c r="P52" s="1626"/>
      <c r="AH52" s="1633">
        <v>0</v>
      </c>
    </row>
    <row s="1637" customFormat="1" customHeight="1" ht="18.75" hidden="1">
      <c r="A53" s="1782"/>
      <c r="B53" s="1782"/>
      <c r="C53" s="371" t="s">
        <v>1151</v>
      </c>
      <c r="D53" s="2464"/>
      <c r="E53" s="2206"/>
      <c r="F53" s="2385"/>
      <c r="G53" s="2429"/>
      <c r="H53" s="1502"/>
      <c r="I53" s="653" t="s">
        <v>1152</v>
      </c>
      <c r="J53" s="573"/>
      <c r="K53" s="1502"/>
      <c r="L53" s="216"/>
      <c r="M53" s="2172"/>
      <c r="N53" s="336"/>
      <c r="O53" s="1626"/>
      <c r="P53" s="1626"/>
      <c r="AH53" s="1633">
        <v>0</v>
      </c>
    </row>
    <row s="1637" customFormat="1" customHeight="1" ht="0.75" hidden="1">
      <c r="A54" s="1782"/>
      <c r="B54" s="1782"/>
      <c r="C54" s="371" t="s">
        <v>1157</v>
      </c>
      <c r="D54" s="2464"/>
      <c r="E54" s="2206"/>
      <c r="F54" s="2385"/>
      <c r="G54" s="402"/>
      <c r="H54" s="1502"/>
      <c r="I54" s="653"/>
      <c r="J54" s="573"/>
      <c r="K54" s="1502"/>
      <c r="L54" s="216"/>
      <c r="M54" s="2172"/>
      <c r="N54" s="336"/>
      <c r="O54" s="1626"/>
      <c r="P54" s="1626"/>
      <c r="AH54" s="1633">
        <v>0</v>
      </c>
    </row>
    <row s="1637" customFormat="1" customHeight="1" ht="18.75" hidden="1">
      <c r="A55" s="1782" t="s">
        <v>234</v>
      </c>
      <c r="B55" s="1782" t="s">
        <v>235</v>
      </c>
      <c r="C55" s="371"/>
      <c r="D55" s="2464"/>
      <c r="E55" s="2206"/>
      <c r="F55" s="2385" t="str">
        <f>INDEX(PT_DIFFERENTIATION_VTAR,MATCH(A55,PT_DIFFERENTIATION_VTAR_ID,0))</f>
        <v>Тариф на питьевую воду (питьевое водоснабжение)</v>
      </c>
      <c r="G55" s="2429" t="str">
        <f>INDEX(PT_DIFFERENTIATION_NTAR,MATCH(B55,PT_DIFFERENTIATION_NTAR_ID,0))</f>
        <v/>
      </c>
      <c r="H55" s="1864"/>
      <c r="I55" s="1741"/>
      <c r="J55" s="1775"/>
      <c r="K55" s="1867"/>
      <c r="L55" s="1864" t="s">
        <v>315</v>
      </c>
      <c r="M55" s="2172"/>
      <c r="N55" s="336"/>
      <c r="O55" s="1626"/>
      <c r="P55" s="1626"/>
      <c r="AH55" s="1633">
        <v>0</v>
      </c>
    </row>
    <row s="1637" customFormat="1" customHeight="1" ht="18.75" hidden="1">
      <c r="A56" s="1782"/>
      <c r="B56" s="1782"/>
      <c r="C56" s="371" t="s">
        <v>1151</v>
      </c>
      <c r="D56" s="2464"/>
      <c r="E56" s="2206"/>
      <c r="F56" s="2385"/>
      <c r="G56" s="2429"/>
      <c r="H56" s="1502"/>
      <c r="I56" s="653" t="s">
        <v>1152</v>
      </c>
      <c r="J56" s="573"/>
      <c r="K56" s="1502"/>
      <c r="L56" s="216"/>
      <c r="M56" s="2172"/>
      <c r="N56" s="336"/>
      <c r="O56" s="1626"/>
      <c r="P56" s="1626"/>
      <c r="AH56" s="1633">
        <v>0</v>
      </c>
    </row>
    <row s="1637" customFormat="1" customHeight="1" ht="0.75" hidden="1">
      <c r="A57" s="1782"/>
      <c r="B57" s="1782"/>
      <c r="C57" s="371" t="s">
        <v>1157</v>
      </c>
      <c r="D57" s="2464"/>
      <c r="E57" s="2206"/>
      <c r="F57" s="2385"/>
      <c r="G57" s="402"/>
      <c r="H57" s="1502"/>
      <c r="I57" s="653"/>
      <c r="J57" s="573"/>
      <c r="K57" s="1502"/>
      <c r="L57" s="216"/>
      <c r="M57" s="2172"/>
      <c r="N57" s="336"/>
      <c r="O57" s="1626"/>
      <c r="P57" s="1626"/>
      <c r="AH57" s="1633">
        <v>0</v>
      </c>
    </row>
    <row s="1637" customFormat="1" customHeight="1" ht="18.75" hidden="1">
      <c r="A58" s="1782" t="s">
        <v>239</v>
      </c>
      <c r="B58" s="1782" t="s">
        <v>240</v>
      </c>
      <c r="C58" s="371"/>
      <c r="D58" s="2464"/>
      <c r="E58" s="2206"/>
      <c r="F58" s="2385" t="str">
        <f>INDEX(PT_DIFFERENTIATION_VTAR,MATCH(A58,PT_DIFFERENTIATION_VTAR_ID,0))</f>
        <v>Тариф на техническую воду</v>
      </c>
      <c r="G58" s="2429" t="str">
        <f>INDEX(PT_DIFFERENTIATION_NTAR,MATCH(B58,PT_DIFFERENTIATION_NTAR_ID,0))</f>
        <v/>
      </c>
      <c r="H58" s="1864"/>
      <c r="I58" s="1741"/>
      <c r="J58" s="1775"/>
      <c r="K58" s="1867"/>
      <c r="L58" s="1864" t="s">
        <v>315</v>
      </c>
      <c r="M58" s="2172"/>
      <c r="N58" s="336"/>
      <c r="O58" s="1626"/>
      <c r="P58" s="1626"/>
      <c r="AH58" s="1633">
        <v>0</v>
      </c>
    </row>
    <row s="1637" customFormat="1" customHeight="1" ht="18.75" hidden="1">
      <c r="A59" s="1782"/>
      <c r="B59" s="1782"/>
      <c r="C59" s="371" t="s">
        <v>1151</v>
      </c>
      <c r="D59" s="2464"/>
      <c r="E59" s="2206"/>
      <c r="F59" s="2385"/>
      <c r="G59" s="2429"/>
      <c r="H59" s="1502"/>
      <c r="I59" s="653" t="s">
        <v>1152</v>
      </c>
      <c r="J59" s="573"/>
      <c r="K59" s="1502"/>
      <c r="L59" s="216"/>
      <c r="M59" s="2172"/>
      <c r="N59" s="336"/>
      <c r="O59" s="1626"/>
      <c r="P59" s="1626"/>
      <c r="AH59" s="1633">
        <v>0</v>
      </c>
    </row>
    <row s="1637" customFormat="1" customHeight="1" ht="0.75" hidden="1">
      <c r="A60" s="1782"/>
      <c r="B60" s="1782"/>
      <c r="C60" s="371" t="s">
        <v>1157</v>
      </c>
      <c r="D60" s="2464"/>
      <c r="E60" s="2206"/>
      <c r="F60" s="2385"/>
      <c r="G60" s="402"/>
      <c r="H60" s="1502"/>
      <c r="I60" s="653"/>
      <c r="J60" s="573"/>
      <c r="K60" s="1502"/>
      <c r="L60" s="216"/>
      <c r="M60" s="2172"/>
      <c r="N60" s="336"/>
      <c r="O60" s="1626"/>
      <c r="P60" s="1626"/>
      <c r="AH60" s="1633">
        <v>0</v>
      </c>
    </row>
    <row s="1637" customFormat="1" customHeight="1" ht="18.75" hidden="1">
      <c r="A61" s="1782" t="s">
        <v>244</v>
      </c>
      <c r="B61" s="1782" t="s">
        <v>245</v>
      </c>
      <c r="C61" s="371"/>
      <c r="D61" s="2464"/>
      <c r="E61" s="2206"/>
      <c r="F61" s="2385" t="str">
        <f>INDEX(PT_DIFFERENTIATION_VTAR,MATCH(A61,PT_DIFFERENTIATION_VTAR_ID,0))</f>
        <v>Тариф на транспортировку воды</v>
      </c>
      <c r="G61" s="2429" t="str">
        <f>INDEX(PT_DIFFERENTIATION_NTAR,MATCH(B61,PT_DIFFERENTIATION_NTAR_ID,0))</f>
        <v/>
      </c>
      <c r="H61" s="1864"/>
      <c r="I61" s="1741"/>
      <c r="J61" s="1775"/>
      <c r="K61" s="1867"/>
      <c r="L61" s="1864" t="s">
        <v>315</v>
      </c>
      <c r="M61" s="2172"/>
      <c r="N61" s="336"/>
      <c r="O61" s="1626"/>
      <c r="P61" s="1626"/>
      <c r="AH61" s="1633">
        <v>0</v>
      </c>
    </row>
    <row s="1637" customFormat="1" customHeight="1" ht="18.75" hidden="1">
      <c r="A62" s="1782"/>
      <c r="B62" s="1782"/>
      <c r="C62" s="371" t="s">
        <v>1151</v>
      </c>
      <c r="D62" s="2464"/>
      <c r="E62" s="2206"/>
      <c r="F62" s="2385"/>
      <c r="G62" s="2429"/>
      <c r="H62" s="1502"/>
      <c r="I62" s="653" t="s">
        <v>1152</v>
      </c>
      <c r="J62" s="573"/>
      <c r="K62" s="1502"/>
      <c r="L62" s="216"/>
      <c r="M62" s="2172"/>
      <c r="N62" s="336"/>
      <c r="O62" s="1626"/>
      <c r="P62" s="1626"/>
      <c r="AH62" s="1633">
        <v>0</v>
      </c>
    </row>
    <row s="1637" customFormat="1" customHeight="1" ht="0.75" hidden="1">
      <c r="A63" s="1782"/>
      <c r="B63" s="1782"/>
      <c r="C63" s="371" t="s">
        <v>1157</v>
      </c>
      <c r="D63" s="2464"/>
      <c r="E63" s="2206"/>
      <c r="F63" s="2385"/>
      <c r="G63" s="402"/>
      <c r="H63" s="1502"/>
      <c r="I63" s="653"/>
      <c r="J63" s="573"/>
      <c r="K63" s="1502"/>
      <c r="L63" s="216"/>
      <c r="M63" s="2172"/>
      <c r="N63" s="336"/>
      <c r="O63" s="1626"/>
      <c r="P63" s="1626"/>
      <c r="AH63" s="1633">
        <v>0</v>
      </c>
    </row>
    <row s="1637" customFormat="1" customHeight="1" ht="18.75" hidden="1">
      <c r="A64" s="1782" t="s">
        <v>249</v>
      </c>
      <c r="B64" s="1782" t="s">
        <v>250</v>
      </c>
      <c r="C64" s="371"/>
      <c r="D64" s="2464"/>
      <c r="E64" s="2206"/>
      <c r="F64" s="2385" t="str">
        <f>INDEX(PT_DIFFERENTIATION_VTAR,MATCH(A64,PT_DIFFERENTIATION_VTAR_ID,0))</f>
        <v>Тариф на подвоз воды</v>
      </c>
      <c r="G64" s="2429" t="str">
        <f>INDEX(PT_DIFFERENTIATION_NTAR,MATCH(B64,PT_DIFFERENTIATION_NTAR_ID,0))</f>
        <v/>
      </c>
      <c r="H64" s="1864"/>
      <c r="I64" s="1741"/>
      <c r="J64" s="1775"/>
      <c r="K64" s="1867"/>
      <c r="L64" s="1864" t="s">
        <v>315</v>
      </c>
      <c r="M64" s="2172"/>
      <c r="N64" s="336"/>
      <c r="O64" s="1626"/>
      <c r="P64" s="1626"/>
      <c r="AH64" s="1633">
        <v>0</v>
      </c>
    </row>
    <row s="1637" customFormat="1" customHeight="1" ht="18.75" hidden="1">
      <c r="A65" s="1782"/>
      <c r="B65" s="1782"/>
      <c r="C65" s="371" t="s">
        <v>1151</v>
      </c>
      <c r="D65" s="2464"/>
      <c r="E65" s="2206"/>
      <c r="F65" s="2385"/>
      <c r="G65" s="2429"/>
      <c r="H65" s="1502"/>
      <c r="I65" s="653" t="s">
        <v>1152</v>
      </c>
      <c r="J65" s="573"/>
      <c r="K65" s="1502"/>
      <c r="L65" s="216"/>
      <c r="M65" s="2172"/>
      <c r="N65" s="336"/>
      <c r="O65" s="1626"/>
      <c r="P65" s="1626"/>
      <c r="AH65" s="1633">
        <v>0</v>
      </c>
    </row>
    <row s="1637" customFormat="1" customHeight="1" ht="0.75" hidden="1">
      <c r="A66" s="1782"/>
      <c r="B66" s="1782"/>
      <c r="C66" s="371" t="s">
        <v>1157</v>
      </c>
      <c r="D66" s="2464"/>
      <c r="E66" s="2206"/>
      <c r="F66" s="2385"/>
      <c r="G66" s="402"/>
      <c r="H66" s="1502"/>
      <c r="I66" s="653"/>
      <c r="J66" s="573"/>
      <c r="K66" s="1502"/>
      <c r="L66" s="216"/>
      <c r="M66" s="2172"/>
      <c r="N66" s="336"/>
      <c r="O66" s="1626"/>
      <c r="P66" s="1626"/>
      <c r="AH66" s="1633">
        <v>0</v>
      </c>
    </row>
    <row s="1637" customFormat="1" customHeight="1" ht="18.75" hidden="1">
      <c r="A67" s="1782" t="s">
        <v>254</v>
      </c>
      <c r="B67" s="1782" t="s">
        <v>255</v>
      </c>
      <c r="C67" s="371"/>
      <c r="D67" s="2464"/>
      <c r="E67" s="2206"/>
      <c r="F67" s="2385" t="str">
        <f>INDEX(PT_DIFFERENTIATION_VTAR,MATCH(A67,PT_DIFFERENTIATION_VTAR_ID,0))</f>
        <v>Тариф на подключение (технологическое присоединение) к централизованной системе холодного водоснабжения</v>
      </c>
      <c r="G67" s="2429" t="str">
        <f>INDEX(PT_DIFFERENTIATION_NTAR,MATCH(B67,PT_DIFFERENTIATION_NTAR_ID,0))</f>
        <v/>
      </c>
      <c r="H67" s="1864"/>
      <c r="I67" s="1741"/>
      <c r="J67" s="1775"/>
      <c r="K67" s="1867"/>
      <c r="L67" s="1864" t="s">
        <v>315</v>
      </c>
      <c r="M67" s="2172"/>
      <c r="N67" s="336"/>
      <c r="O67" s="1626"/>
      <c r="P67" s="1626"/>
      <c r="AH67" s="1633">
        <v>0</v>
      </c>
    </row>
    <row s="1637" customFormat="1" customHeight="1" ht="18.75" hidden="1">
      <c r="A68" s="1782"/>
      <c r="B68" s="1782"/>
      <c r="C68" s="371" t="s">
        <v>1151</v>
      </c>
      <c r="D68" s="2464"/>
      <c r="E68" s="2206"/>
      <c r="F68" s="2385"/>
      <c r="G68" s="2429"/>
      <c r="H68" s="1502"/>
      <c r="I68" s="653" t="s">
        <v>1152</v>
      </c>
      <c r="J68" s="573"/>
      <c r="K68" s="1502"/>
      <c r="L68" s="216"/>
      <c r="M68" s="2172"/>
      <c r="N68" s="336"/>
      <c r="O68" s="1626"/>
      <c r="P68" s="1626"/>
      <c r="AH68" s="1633">
        <v>0</v>
      </c>
    </row>
    <row s="1637" customFormat="1" customHeight="1" ht="0.75" hidden="1">
      <c r="A69" s="1782"/>
      <c r="B69" s="1782"/>
      <c r="C69" s="371" t="s">
        <v>1157</v>
      </c>
      <c r="D69" s="2464"/>
      <c r="E69" s="2206"/>
      <c r="F69" s="2385"/>
      <c r="G69" s="402"/>
      <c r="H69" s="1502"/>
      <c r="I69" s="653"/>
      <c r="J69" s="573"/>
      <c r="K69" s="1502"/>
      <c r="L69" s="216"/>
      <c r="M69" s="2172"/>
      <c r="N69" s="336"/>
      <c r="O69" s="1626"/>
      <c r="P69" s="1626"/>
      <c r="AH69" s="1633">
        <v>0</v>
      </c>
    </row>
    <row s="1637" customFormat="1" customHeight="1" ht="18.75" hidden="1">
      <c r="A70" s="1782" t="s">
        <v>259</v>
      </c>
      <c r="B70" s="1782" t="s">
        <v>260</v>
      </c>
      <c r="C70" s="371"/>
      <c r="D70" s="2464"/>
      <c r="E70" s="2206"/>
      <c r="F70" s="2385" t="str">
        <f>INDEX(PT_DIFFERENTIATION_VTAR,MATCH(A70,PT_DIFFERENTIATION_VTAR_ID,0))</f>
        <v>Тариф на горячую воду (горячее водоснабжение)</v>
      </c>
      <c r="G70" s="2429" t="str">
        <f>INDEX(PT_DIFFERENTIATION_NTAR,MATCH(B70,PT_DIFFERENTIATION_NTAR_ID,0))</f>
        <v/>
      </c>
      <c r="H70" s="1864"/>
      <c r="I70" s="1741"/>
      <c r="J70" s="1775"/>
      <c r="K70" s="1867"/>
      <c r="L70" s="1864" t="s">
        <v>315</v>
      </c>
      <c r="M70" s="2172"/>
      <c r="N70" s="336"/>
      <c r="O70" s="1626"/>
      <c r="P70" s="1626"/>
      <c r="AH70" s="1633">
        <v>0</v>
      </c>
    </row>
    <row s="1637" customFormat="1" customHeight="1" ht="18.75" hidden="1">
      <c r="A71" s="1782"/>
      <c r="B71" s="1782"/>
      <c r="C71" s="371" t="s">
        <v>1151</v>
      </c>
      <c r="D71" s="2464"/>
      <c r="E71" s="2206"/>
      <c r="F71" s="2385"/>
      <c r="G71" s="2429"/>
      <c r="H71" s="1502"/>
      <c r="I71" s="653" t="s">
        <v>1152</v>
      </c>
      <c r="J71" s="573"/>
      <c r="K71" s="1502"/>
      <c r="L71" s="216"/>
      <c r="M71" s="2172"/>
      <c r="N71" s="336"/>
      <c r="O71" s="1626"/>
      <c r="P71" s="1626"/>
      <c r="AH71" s="1633">
        <v>0</v>
      </c>
    </row>
    <row s="1637" customFormat="1" customHeight="1" ht="0.75" hidden="1">
      <c r="A72" s="1782"/>
      <c r="B72" s="1782"/>
      <c r="C72" s="371" t="s">
        <v>1157</v>
      </c>
      <c r="D72" s="2464"/>
      <c r="E72" s="2206"/>
      <c r="F72" s="2385"/>
      <c r="G72" s="402"/>
      <c r="H72" s="1502"/>
      <c r="I72" s="653"/>
      <c r="J72" s="573"/>
      <c r="K72" s="1502"/>
      <c r="L72" s="216"/>
      <c r="M72" s="2172"/>
      <c r="N72" s="336"/>
      <c r="O72" s="1626"/>
      <c r="P72" s="1626"/>
      <c r="AH72" s="1633">
        <v>0</v>
      </c>
    </row>
    <row s="1637" customFormat="1" customHeight="1" ht="18.75" hidden="1">
      <c r="A73" s="1782" t="s">
        <v>264</v>
      </c>
      <c r="B73" s="1782" t="s">
        <v>265</v>
      </c>
      <c r="C73" s="371"/>
      <c r="D73" s="2464"/>
      <c r="E73" s="2206"/>
      <c r="F73" s="2385" t="str">
        <f>INDEX(PT_DIFFERENTIATION_VTAR,MATCH(A73,PT_DIFFERENTIATION_VTAR_ID,0))</f>
        <v>Тариф на транспортировку горячей воды</v>
      </c>
      <c r="G73" s="2429" t="str">
        <f>INDEX(PT_DIFFERENTIATION_NTAR,MATCH(B73,PT_DIFFERENTIATION_NTAR_ID,0))</f>
        <v/>
      </c>
      <c r="H73" s="1864"/>
      <c r="I73" s="1741"/>
      <c r="J73" s="1775"/>
      <c r="K73" s="1867"/>
      <c r="L73" s="1864" t="s">
        <v>315</v>
      </c>
      <c r="M73" s="2172"/>
      <c r="N73" s="336"/>
      <c r="O73" s="1626"/>
      <c r="P73" s="1626"/>
      <c r="AH73" s="1633">
        <v>0</v>
      </c>
    </row>
    <row s="1637" customFormat="1" customHeight="1" ht="18.75" hidden="1">
      <c r="A74" s="1782"/>
      <c r="B74" s="1782"/>
      <c r="C74" s="371" t="s">
        <v>1151</v>
      </c>
      <c r="D74" s="2464"/>
      <c r="E74" s="2206"/>
      <c r="F74" s="2385"/>
      <c r="G74" s="2429"/>
      <c r="H74" s="1502"/>
      <c r="I74" s="653" t="s">
        <v>1152</v>
      </c>
      <c r="J74" s="573"/>
      <c r="K74" s="1502"/>
      <c r="L74" s="216"/>
      <c r="M74" s="2172"/>
      <c r="N74" s="336"/>
      <c r="O74" s="1626"/>
      <c r="P74" s="1626"/>
      <c r="AH74" s="1633">
        <v>0</v>
      </c>
    </row>
    <row s="1637" customFormat="1" customHeight="1" ht="0.75" hidden="1">
      <c r="A75" s="1782"/>
      <c r="B75" s="1782"/>
      <c r="C75" s="371" t="s">
        <v>1157</v>
      </c>
      <c r="D75" s="2464"/>
      <c r="E75" s="2206"/>
      <c r="F75" s="2385"/>
      <c r="G75" s="402"/>
      <c r="H75" s="1502"/>
      <c r="I75" s="653"/>
      <c r="J75" s="573"/>
      <c r="K75" s="1502"/>
      <c r="L75" s="216"/>
      <c r="M75" s="2172"/>
      <c r="N75" s="336"/>
      <c r="O75" s="1626"/>
      <c r="P75" s="1626"/>
      <c r="AH75" s="1633">
        <v>0</v>
      </c>
    </row>
    <row s="1637" customFormat="1" customHeight="1" ht="18.75" hidden="1">
      <c r="A76" s="1782" t="s">
        <v>269</v>
      </c>
      <c r="B76" s="1782" t="s">
        <v>270</v>
      </c>
      <c r="C76" s="371"/>
      <c r="D76" s="2464"/>
      <c r="E76" s="2206"/>
      <c r="F76" s="2385" t="str">
        <f>INDEX(PT_DIFFERENTIATION_VTAR,MATCH(A76,PT_DIFFERENTIATION_VTAR_ID,0))</f>
        <v>Тариф на подключение (технологическое присоединение) к централизованной системе горячего водоснабжения</v>
      </c>
      <c r="G76" s="2429" t="str">
        <f>INDEX(PT_DIFFERENTIATION_NTAR,MATCH(B76,PT_DIFFERENTIATION_NTAR_ID,0))</f>
        <v/>
      </c>
      <c r="H76" s="1864"/>
      <c r="I76" s="1741"/>
      <c r="J76" s="1775"/>
      <c r="K76" s="1867"/>
      <c r="L76" s="1864" t="s">
        <v>315</v>
      </c>
      <c r="M76" s="2172"/>
      <c r="N76" s="336"/>
      <c r="O76" s="1626"/>
      <c r="P76" s="1626"/>
      <c r="AH76" s="1633">
        <v>0</v>
      </c>
    </row>
    <row s="1637" customFormat="1" customHeight="1" ht="18.75" hidden="1">
      <c r="A77" s="1782"/>
      <c r="B77" s="1782"/>
      <c r="C77" s="371" t="s">
        <v>1151</v>
      </c>
      <c r="D77" s="2464"/>
      <c r="E77" s="2206"/>
      <c r="F77" s="2385"/>
      <c r="G77" s="2429"/>
      <c r="H77" s="1502"/>
      <c r="I77" s="653" t="s">
        <v>1152</v>
      </c>
      <c r="J77" s="573"/>
      <c r="K77" s="1502"/>
      <c r="L77" s="216"/>
      <c r="M77" s="2172"/>
      <c r="N77" s="336"/>
      <c r="O77" s="1626"/>
      <c r="P77" s="1626"/>
      <c r="AH77" s="1633">
        <v>0</v>
      </c>
    </row>
    <row s="1637" customFormat="1" customHeight="1" ht="0.75" hidden="1">
      <c r="A78" s="1782"/>
      <c r="B78" s="1782"/>
      <c r="C78" s="371" t="s">
        <v>1157</v>
      </c>
      <c r="D78" s="2464"/>
      <c r="E78" s="2206"/>
      <c r="F78" s="2385"/>
      <c r="G78" s="402"/>
      <c r="H78" s="1502"/>
      <c r="I78" s="653"/>
      <c r="J78" s="573"/>
      <c r="K78" s="1502"/>
      <c r="L78" s="216"/>
      <c r="M78" s="2172"/>
      <c r="N78" s="336"/>
      <c r="O78" s="1626"/>
      <c r="P78" s="1626"/>
      <c r="AH78" s="1633">
        <v>0</v>
      </c>
    </row>
    <row s="1637" customFormat="1" customHeight="1" ht="18.75" hidden="1">
      <c r="A79" s="1782" t="s">
        <v>274</v>
      </c>
      <c r="B79" s="1782" t="s">
        <v>275</v>
      </c>
      <c r="C79" s="371"/>
      <c r="D79" s="2464"/>
      <c r="E79" s="2206"/>
      <c r="F79" s="2385" t="str">
        <f>INDEX(PT_DIFFERENTIATION_VTAR,MATCH(A79,PT_DIFFERENTIATION_VTAR_ID,0))</f>
        <v>Тариф на водоотведение</v>
      </c>
      <c r="G79" s="2429" t="str">
        <f>INDEX(PT_DIFFERENTIATION_NTAR,MATCH(B79,PT_DIFFERENTIATION_NTAR_ID,0))</f>
        <v/>
      </c>
      <c r="H79" s="1864"/>
      <c r="I79" s="1741"/>
      <c r="J79" s="1775"/>
      <c r="K79" s="1867"/>
      <c r="L79" s="1864" t="s">
        <v>315</v>
      </c>
      <c r="M79" s="2172"/>
      <c r="N79" s="336"/>
      <c r="O79" s="1626"/>
      <c r="P79" s="1626"/>
      <c r="AH79" s="1633">
        <v>0</v>
      </c>
    </row>
    <row s="1637" customFormat="1" customHeight="1" ht="18.75" hidden="1">
      <c r="A80" s="1782"/>
      <c r="B80" s="1782"/>
      <c r="C80" s="371" t="s">
        <v>1151</v>
      </c>
      <c r="D80" s="2464"/>
      <c r="E80" s="2206"/>
      <c r="F80" s="2385"/>
      <c r="G80" s="2429"/>
      <c r="H80" s="1502"/>
      <c r="I80" s="653" t="s">
        <v>1152</v>
      </c>
      <c r="J80" s="573"/>
      <c r="K80" s="1502"/>
      <c r="L80" s="216"/>
      <c r="M80" s="2172"/>
      <c r="N80" s="336"/>
      <c r="O80" s="1626"/>
      <c r="P80" s="1626"/>
      <c r="AH80" s="1633">
        <v>0</v>
      </c>
    </row>
    <row s="1637" customFormat="1" customHeight="1" ht="0.75" hidden="1">
      <c r="A81" s="1782"/>
      <c r="B81" s="1782"/>
      <c r="C81" s="371" t="s">
        <v>1157</v>
      </c>
      <c r="D81" s="2464"/>
      <c r="E81" s="2206"/>
      <c r="F81" s="2385"/>
      <c r="G81" s="402"/>
      <c r="H81" s="1502"/>
      <c r="I81" s="653"/>
      <c r="J81" s="573"/>
      <c r="K81" s="1502"/>
      <c r="L81" s="216"/>
      <c r="M81" s="2172"/>
      <c r="N81" s="336"/>
      <c r="O81" s="1626"/>
      <c r="P81" s="1626"/>
      <c r="AH81" s="1633">
        <v>0</v>
      </c>
    </row>
    <row s="1637" customFormat="1" customHeight="1" ht="18.75" hidden="1">
      <c r="A82" s="1782" t="s">
        <v>279</v>
      </c>
      <c r="B82" s="1782" t="s">
        <v>280</v>
      </c>
      <c r="C82" s="371"/>
      <c r="D82" s="2464"/>
      <c r="E82" s="2206"/>
      <c r="F82" s="2385" t="str">
        <f>INDEX(PT_DIFFERENTIATION_VTAR,MATCH(A82,PT_DIFFERENTIATION_VTAR_ID,0))</f>
        <v>Тариф на транспортировку сточных вод</v>
      </c>
      <c r="G82" s="2429" t="str">
        <f>INDEX(PT_DIFFERENTIATION_NTAR,MATCH(B82,PT_DIFFERENTIATION_NTAR_ID,0))</f>
        <v/>
      </c>
      <c r="H82" s="1864"/>
      <c r="I82" s="1741"/>
      <c r="J82" s="1775"/>
      <c r="K82" s="1867"/>
      <c r="L82" s="1864" t="s">
        <v>315</v>
      </c>
      <c r="M82" s="2172"/>
      <c r="N82" s="336"/>
      <c r="O82" s="1626"/>
      <c r="P82" s="1626"/>
      <c r="AH82" s="1633">
        <v>0</v>
      </c>
    </row>
    <row s="1637" customFormat="1" customHeight="1" ht="18.75" hidden="1">
      <c r="A83" s="1782"/>
      <c r="B83" s="1782"/>
      <c r="C83" s="371" t="s">
        <v>1151</v>
      </c>
      <c r="D83" s="2464"/>
      <c r="E83" s="2206"/>
      <c r="F83" s="2385"/>
      <c r="G83" s="2429"/>
      <c r="H83" s="1502"/>
      <c r="I83" s="653" t="s">
        <v>1152</v>
      </c>
      <c r="J83" s="573"/>
      <c r="K83" s="1502"/>
      <c r="L83" s="216"/>
      <c r="M83" s="2172"/>
      <c r="N83" s="336"/>
      <c r="O83" s="1626"/>
      <c r="P83" s="1626"/>
      <c r="AH83" s="1633">
        <v>0</v>
      </c>
    </row>
    <row s="1637" customFormat="1" customHeight="1" ht="0.75" hidden="1">
      <c r="A84" s="1782"/>
      <c r="B84" s="1782"/>
      <c r="C84" s="371" t="s">
        <v>1157</v>
      </c>
      <c r="D84" s="2464"/>
      <c r="E84" s="2206"/>
      <c r="F84" s="2385"/>
      <c r="G84" s="402"/>
      <c r="H84" s="1502"/>
      <c r="I84" s="653"/>
      <c r="J84" s="573"/>
      <c r="K84" s="1502"/>
      <c r="L84" s="216"/>
      <c r="M84" s="2172"/>
      <c r="N84" s="336"/>
      <c r="O84" s="1626"/>
      <c r="P84" s="1626"/>
      <c r="AH84" s="1633">
        <v>0</v>
      </c>
    </row>
    <row s="1637" customFormat="1" customHeight="1" ht="18.75" hidden="1">
      <c r="A85" s="1782" t="s">
        <v>284</v>
      </c>
      <c r="B85" s="1782" t="s">
        <v>285</v>
      </c>
      <c r="C85" s="371"/>
      <c r="D85" s="2464"/>
      <c r="E85" s="2206"/>
      <c r="F85" s="2385" t="str">
        <f>INDEX(PT_DIFFERENTIATION_VTAR,MATCH(A85,PT_DIFFERENTIATION_VTAR_ID,0))</f>
        <v>Тариф на подключение (технологическое присоединение) к централизованной системе водоотведения</v>
      </c>
      <c r="G85" s="2429" t="str">
        <f>INDEX(PT_DIFFERENTIATION_NTAR,MATCH(B85,PT_DIFFERENTIATION_NTAR_ID,0))</f>
        <v/>
      </c>
      <c r="H85" s="1864"/>
      <c r="I85" s="1741"/>
      <c r="J85" s="1775"/>
      <c r="K85" s="1867"/>
      <c r="L85" s="1864" t="s">
        <v>315</v>
      </c>
      <c r="M85" s="2172"/>
      <c r="N85" s="336"/>
      <c r="O85" s="1626"/>
      <c r="P85" s="1626"/>
      <c r="AH85" s="1633">
        <v>0</v>
      </c>
    </row>
    <row s="1637" customFormat="1" customHeight="1" ht="18.75" hidden="1">
      <c r="A86" s="1782"/>
      <c r="B86" s="1782"/>
      <c r="C86" s="371" t="s">
        <v>1151</v>
      </c>
      <c r="D86" s="2464"/>
      <c r="E86" s="2206"/>
      <c r="F86" s="2385"/>
      <c r="G86" s="2429"/>
      <c r="H86" s="1502"/>
      <c r="I86" s="653" t="s">
        <v>1152</v>
      </c>
      <c r="J86" s="573"/>
      <c r="K86" s="1502"/>
      <c r="L86" s="216"/>
      <c r="M86" s="2172"/>
      <c r="N86" s="336"/>
      <c r="O86" s="1626"/>
      <c r="P86" s="1626"/>
      <c r="AH86" s="1633">
        <v>0</v>
      </c>
    </row>
    <row s="1637" customFormat="1" customHeight="1" ht="0.75">
      <c r="A87" s="1782"/>
      <c r="B87" s="1782"/>
      <c r="C87" s="371" t="s">
        <v>1157</v>
      </c>
      <c r="D87" s="2464"/>
      <c r="E87" s="2206"/>
      <c r="F87" s="2385"/>
      <c r="G87" s="402"/>
      <c r="H87" s="1502"/>
      <c r="I87" s="653"/>
      <c r="J87" s="573"/>
      <c r="K87" s="1502"/>
      <c r="L87" s="216"/>
      <c r="M87" s="2172"/>
      <c r="N87" s="336"/>
      <c r="O87" s="1626"/>
      <c r="P87" s="1626"/>
      <c r="AH87" s="1633">
        <v>1</v>
      </c>
    </row>
    <row customHeight="1" ht="20.25">
      <c r="A88" s="1782"/>
      <c r="B88" s="1782"/>
      <c r="D88" s="378"/>
      <c r="E88" s="149" t="s">
        <v>112</v>
      </c>
      <c r="F88"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8" s="2462"/>
      <c r="H88" s="2462"/>
      <c r="I88" s="2462"/>
      <c r="J88" s="2462"/>
      <c r="K88" s="2462"/>
      <c r="L88" s="2462"/>
      <c r="M88" s="299"/>
      <c r="N88" s="336"/>
      <c r="AH88" s="376">
        <v>19</v>
      </c>
    </row>
    <row customHeight="1" ht="36">
      <c r="A89" s="1782"/>
      <c r="B89" s="1782"/>
      <c r="D89" s="378"/>
      <c r="E89" s="401"/>
      <c r="F89" s="200" t="s">
        <v>315</v>
      </c>
      <c r="G89" s="200" t="s">
        <v>315</v>
      </c>
      <c r="H89" s="2220" t="s">
        <v>315</v>
      </c>
      <c r="I89" s="2222"/>
      <c r="J89" s="200" t="s">
        <v>315</v>
      </c>
      <c r="K89" s="200" t="s">
        <v>315</v>
      </c>
      <c r="L89" s="2647" t="s">
        <v>1159</v>
      </c>
      <c r="M89" s="347" t="s">
        <v>1160</v>
      </c>
      <c r="N89" s="336"/>
      <c r="AH89" s="376">
        <v>34</v>
      </c>
    </row>
    <row customHeight="1" ht="20.25">
      <c r="A90" s="1782"/>
      <c r="B90" s="1782"/>
      <c r="D90" s="378"/>
      <c r="E90" s="149" t="s">
        <v>92</v>
      </c>
      <c r="F90" s="2462" t="s">
        <v>1161</v>
      </c>
      <c r="G90" s="2462"/>
      <c r="H90" s="2462"/>
      <c r="I90" s="2462"/>
      <c r="J90" s="2462"/>
      <c r="K90" s="2462"/>
      <c r="L90" s="2462"/>
      <c r="M90" s="299"/>
      <c r="N90" s="336"/>
      <c r="AH90" s="376">
        <v>19</v>
      </c>
    </row>
    <row s="1637" customFormat="1" customHeight="1" ht="60.75" hidden="1">
      <c r="A91" s="1782" t="s">
        <v>157</v>
      </c>
      <c r="B91" s="1782" t="s">
        <v>158</v>
      </c>
      <c r="C91" s="371"/>
      <c r="D91" s="2464"/>
      <c r="E91" s="2206"/>
      <c r="F91" s="2385" t="str">
        <f>INDEX(PT_DIFFERENTIATION_VTAR,MATCH(A91,PT_DIFFERENTIATION_VTAR_ID,0))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91" s="2429" t="str">
        <f>INDEX(PT_DIFFERENTIATION_NTAR,MATCH(B91,PT_DIFFERENTIATION_NTAR_ID,0))</f>
        <v/>
      </c>
      <c r="H91" s="1864"/>
      <c r="I91" s="1741"/>
      <c r="J91" s="1775"/>
      <c r="K91" s="1780"/>
      <c r="L91" s="1864" t="s">
        <v>315</v>
      </c>
      <c r="M91"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91" s="336"/>
      <c r="O91" s="1626"/>
      <c r="P91" s="1626"/>
      <c r="AH91" s="1633">
        <v>0</v>
      </c>
    </row>
    <row s="1637" customFormat="1" customHeight="1" ht="18.75" hidden="1">
      <c r="A92" s="1782"/>
      <c r="B92" s="1782"/>
      <c r="C92" s="371" t="s">
        <v>1153</v>
      </c>
      <c r="D92" s="2464"/>
      <c r="E92" s="2206"/>
      <c r="F92" s="2385"/>
      <c r="G92" s="2429"/>
      <c r="H92" s="1502"/>
      <c r="I92" s="653" t="s">
        <v>1152</v>
      </c>
      <c r="J92" s="573"/>
      <c r="K92" s="1502"/>
      <c r="L92" s="216"/>
      <c r="M92" s="2172"/>
      <c r="N92" s="336"/>
      <c r="O92" s="1626"/>
      <c r="P92" s="1626"/>
      <c r="AH92" s="1633">
        <v>0</v>
      </c>
    </row>
    <row s="1637" customFormat="1" customHeight="1" ht="0.75" hidden="1">
      <c r="A93" s="1782"/>
      <c r="B93" s="1782"/>
      <c r="C93" s="371" t="s">
        <v>1162</v>
      </c>
      <c r="D93" s="2464"/>
      <c r="E93" s="2206"/>
      <c r="F93" s="2385"/>
      <c r="G93" s="402"/>
      <c r="H93" s="1502"/>
      <c r="I93" s="653"/>
      <c r="J93" s="573"/>
      <c r="K93" s="1502"/>
      <c r="L93" s="216"/>
      <c r="M93" s="2172"/>
      <c r="N93" s="336"/>
      <c r="O93" s="1626"/>
      <c r="P93" s="1626"/>
      <c r="AH93" s="1633">
        <v>0</v>
      </c>
    </row>
    <row s="1637" customFormat="1" customHeight="1" ht="45">
      <c r="A94" s="1782" t="s">
        <v>167</v>
      </c>
      <c r="B94" s="1782" t="s">
        <v>168</v>
      </c>
      <c r="C94" s="371"/>
      <c r="D94" s="2464"/>
      <c r="E94" s="2206"/>
      <c r="F94" s="2385" t="str">
        <f>INDEX(PT_DIFFERENTIATION_VTAR,MATCH(A94,PT_DIFFERENTIATION_VTAR_ID,0))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94" s="2429" t="str">
        <f>INDEX(PT_DIFFERENTIATION_NTAR,MATCH(B94,PT_DIFFERENTIATION_NTAR_ID,0))</f>
        <v>Тариф на тепловую энергию</v>
      </c>
      <c r="H94" s="1864"/>
      <c r="I94" s="1741" t="s">
        <v>1163</v>
      </c>
      <c r="J94" s="1775" t="s">
        <v>1164</v>
      </c>
      <c r="K94" s="1780">
        <v>271425.88</v>
      </c>
      <c r="L94" s="1864" t="s">
        <v>315</v>
      </c>
      <c r="M94" s="2173"/>
      <c r="N94" s="336"/>
      <c r="O94" s="1626"/>
      <c r="P94" s="1626"/>
      <c r="AH94" s="1633">
        <v>0</v>
      </c>
    </row>
    <row s="1637" customFormat="1" customHeight="1" ht="56.25">
      <c r="A95" s="1825"/>
      <c r="B95" s="1825"/>
      <c r="C95" s="1689"/>
      <c r="D95" s="346"/>
      <c r="E95" s="1033"/>
      <c r="F95" s="1033"/>
      <c r="G95" s="1033"/>
      <c r="H95" s="2579" t="s">
        <v>454</v>
      </c>
      <c r="I95" s="1741" t="s">
        <v>1165</v>
      </c>
      <c r="J95" s="1775" t="s">
        <v>1166</v>
      </c>
      <c r="K95" s="1780">
        <v>272069.89</v>
      </c>
      <c r="L95" s="2273" t="s">
        <v>315</v>
      </c>
      <c r="M95" s="2320"/>
      <c r="N95" s="620"/>
      <c r="O95" s="1626"/>
      <c r="P95" s="1626"/>
      <c r="Q95" s="1637"/>
      <c r="R95" s="1637"/>
      <c r="S95" s="1637"/>
      <c r="T95" s="1637"/>
      <c r="U95" s="1637"/>
      <c r="V95" s="1637"/>
      <c r="W95" s="1637"/>
      <c r="X95" s="1637"/>
      <c r="Y95" s="1637"/>
      <c r="Z95" s="1637"/>
      <c r="AA95" s="1637"/>
      <c r="AB95" s="1637"/>
      <c r="AC95" s="1637"/>
      <c r="AD95" s="1637"/>
      <c r="AE95" s="1637"/>
      <c r="AF95" s="1637"/>
      <c r="AG95" s="1637"/>
      <c r="AH95" s="1637">
        <v>0</v>
      </c>
    </row>
    <row s="1637" customFormat="1" customHeight="1" ht="56.25">
      <c r="A96" s="1825"/>
      <c r="B96" s="1825"/>
      <c r="C96" s="1689"/>
      <c r="D96" s="346"/>
      <c r="E96" s="1033"/>
      <c r="F96" s="1033"/>
      <c r="G96" s="1033"/>
      <c r="H96" s="2579" t="s">
        <v>454</v>
      </c>
      <c r="I96" s="1741" t="s">
        <v>1167</v>
      </c>
      <c r="J96" s="1775" t="s">
        <v>1168</v>
      </c>
      <c r="K96" s="1780">
        <v>298563.71</v>
      </c>
      <c r="L96" s="2273" t="s">
        <v>315</v>
      </c>
      <c r="M96" s="2320"/>
      <c r="N96" s="620"/>
      <c r="O96" s="1626"/>
      <c r="P96" s="1626"/>
      <c r="Q96" s="1637"/>
      <c r="R96" s="1637"/>
      <c r="S96" s="1637"/>
      <c r="T96" s="1637"/>
      <c r="U96" s="1637"/>
      <c r="V96" s="1637"/>
      <c r="W96" s="1637"/>
      <c r="X96" s="1637"/>
      <c r="Y96" s="1637"/>
      <c r="Z96" s="1637"/>
      <c r="AA96" s="1637"/>
      <c r="AB96" s="1637"/>
      <c r="AC96" s="1637"/>
      <c r="AD96" s="1637"/>
      <c r="AE96" s="1637"/>
      <c r="AF96" s="1637"/>
      <c r="AG96" s="1637"/>
      <c r="AH96" s="1637">
        <v>0</v>
      </c>
    </row>
    <row s="1637" customFormat="1" customHeight="1" ht="56.25">
      <c r="A97" s="1825"/>
      <c r="B97" s="1825"/>
      <c r="C97" s="1689"/>
      <c r="D97" s="346"/>
      <c r="E97" s="1033"/>
      <c r="F97" s="1033"/>
      <c r="G97" s="1033"/>
      <c r="H97" s="2579" t="s">
        <v>454</v>
      </c>
      <c r="I97" s="1741" t="s">
        <v>1169</v>
      </c>
      <c r="J97" s="1775" t="s">
        <v>1170</v>
      </c>
      <c r="K97" s="1780">
        <v>309885.13</v>
      </c>
      <c r="L97" s="2273" t="s">
        <v>315</v>
      </c>
      <c r="M97" s="2320"/>
      <c r="N97" s="620"/>
      <c r="O97" s="1626"/>
      <c r="P97" s="1626"/>
      <c r="Q97" s="1637"/>
      <c r="R97" s="1637"/>
      <c r="S97" s="1637"/>
      <c r="T97" s="1637"/>
      <c r="U97" s="1637"/>
      <c r="V97" s="1637"/>
      <c r="W97" s="1637"/>
      <c r="X97" s="1637"/>
      <c r="Y97" s="1637"/>
      <c r="Z97" s="1637"/>
      <c r="AA97" s="1637"/>
      <c r="AB97" s="1637"/>
      <c r="AC97" s="1637"/>
      <c r="AD97" s="1637"/>
      <c r="AE97" s="1637"/>
      <c r="AF97" s="1637"/>
      <c r="AG97" s="1637"/>
      <c r="AH97" s="1637">
        <v>0</v>
      </c>
    </row>
    <row s="1637" customFormat="1" customHeight="1" ht="56.25">
      <c r="A98" s="1825"/>
      <c r="B98" s="1825"/>
      <c r="C98" s="1689"/>
      <c r="D98" s="346"/>
      <c r="E98" s="1033"/>
      <c r="F98" s="1033"/>
      <c r="G98" s="1033"/>
      <c r="H98" s="2579" t="s">
        <v>454</v>
      </c>
      <c r="I98" s="1741" t="s">
        <v>1171</v>
      </c>
      <c r="J98" s="1775" t="s">
        <v>1172</v>
      </c>
      <c r="K98" s="1780">
        <v>328122.56</v>
      </c>
      <c r="L98" s="2273" t="s">
        <v>315</v>
      </c>
      <c r="M98" s="2320"/>
      <c r="N98" s="620"/>
      <c r="O98" s="1626"/>
      <c r="P98" s="1626"/>
      <c r="Q98" s="1637"/>
      <c r="R98" s="1637"/>
      <c r="S98" s="1637"/>
      <c r="T98" s="1637"/>
      <c r="U98" s="1637"/>
      <c r="V98" s="1637"/>
      <c r="W98" s="1637"/>
      <c r="X98" s="1637"/>
      <c r="Y98" s="1637"/>
      <c r="Z98" s="1637"/>
      <c r="AA98" s="1637"/>
      <c r="AB98" s="1637"/>
      <c r="AC98" s="1637"/>
      <c r="AD98" s="1637"/>
      <c r="AE98" s="1637"/>
      <c r="AF98" s="1637"/>
      <c r="AG98" s="1637"/>
      <c r="AH98" s="1637">
        <v>0</v>
      </c>
    </row>
    <row s="1637" customFormat="1" customHeight="1" ht="18.75">
      <c r="A99" s="1782"/>
      <c r="B99" s="1782"/>
      <c r="C99" s="371" t="s">
        <v>1153</v>
      </c>
      <c r="D99" s="2464"/>
      <c r="E99" s="2206"/>
      <c r="F99" s="2385"/>
      <c r="G99" s="2429"/>
      <c r="H99" s="1502"/>
      <c r="I99" s="653" t="s">
        <v>1152</v>
      </c>
      <c r="J99" s="573"/>
      <c r="K99" s="1502"/>
      <c r="L99" s="216"/>
      <c r="M99" s="1863"/>
      <c r="N99" s="336"/>
      <c r="O99" s="1626"/>
      <c r="P99" s="1626"/>
      <c r="AH99" s="1633">
        <v>0</v>
      </c>
    </row>
    <row s="1637" customFormat="1" customHeight="1" ht="0.75">
      <c r="A100" s="1782"/>
      <c r="B100" s="1782"/>
      <c r="C100" s="371" t="s">
        <v>1162</v>
      </c>
      <c r="D100" s="2464"/>
      <c r="E100" s="2206"/>
      <c r="F100" s="2385"/>
      <c r="G100" s="402"/>
      <c r="H100" s="1502"/>
      <c r="I100" s="653"/>
      <c r="J100" s="573"/>
      <c r="K100" s="1502"/>
      <c r="L100" s="216"/>
      <c r="M100" s="343"/>
      <c r="N100" s="336"/>
      <c r="O100" s="1626"/>
      <c r="P100" s="1626"/>
      <c r="AH100" s="1633">
        <v>0</v>
      </c>
    </row>
    <row s="1637" customFormat="1" customHeight="1" ht="45" hidden="1">
      <c r="A101" s="1782" t="s">
        <v>178</v>
      </c>
      <c r="B101" s="1782" t="s">
        <v>179</v>
      </c>
      <c r="C101" s="371"/>
      <c r="D101" s="2464"/>
      <c r="E101" s="2206"/>
      <c r="F101" s="2385" t="str">
        <f>INDEX(PT_DIFFERENTIATION_VTAR,MATCH(A101,PT_DIFFERENTIATION_VTAR_ID,0))</f>
        <v>Тарифы на теплоноситель, поставляемый теплоснабжающими организациями потребителям, другим теплоснабжающим организациям</v>
      </c>
      <c r="G101" s="2429" t="str">
        <f>INDEX(PT_DIFFERENTIATION_NTAR,MATCH(B101,PT_DIFFERENTIATION_NTAR_ID,0))</f>
        <v/>
      </c>
      <c r="H101" s="1864"/>
      <c r="I101" s="1741"/>
      <c r="J101" s="1775"/>
      <c r="K101" s="1780"/>
      <c r="L101" s="1864" t="s">
        <v>315</v>
      </c>
      <c r="M101" s="343"/>
      <c r="N101" s="336"/>
      <c r="O101" s="1626"/>
      <c r="P101" s="1626"/>
      <c r="AH101" s="1633">
        <v>0</v>
      </c>
    </row>
    <row s="1637" customFormat="1" customHeight="1" ht="18.75" hidden="1">
      <c r="A102" s="1782"/>
      <c r="B102" s="1782"/>
      <c r="C102" s="371" t="s">
        <v>1153</v>
      </c>
      <c r="D102" s="2464"/>
      <c r="E102" s="2206"/>
      <c r="F102" s="2385"/>
      <c r="G102" s="2429"/>
      <c r="H102" s="1502"/>
      <c r="I102" s="653" t="s">
        <v>1152</v>
      </c>
      <c r="J102" s="573"/>
      <c r="K102" s="1502"/>
      <c r="L102" s="216"/>
      <c r="M102" s="343"/>
      <c r="N102" s="336"/>
      <c r="O102" s="1626"/>
      <c r="P102" s="1626"/>
      <c r="AH102" s="1633">
        <v>0</v>
      </c>
    </row>
    <row s="1637" customFormat="1" customHeight="1" ht="0.75" hidden="1">
      <c r="A103" s="1782"/>
      <c r="B103" s="1782"/>
      <c r="C103" s="371" t="s">
        <v>1162</v>
      </c>
      <c r="D103" s="2464"/>
      <c r="E103" s="2206"/>
      <c r="F103" s="2385"/>
      <c r="G103" s="402"/>
      <c r="H103" s="1502"/>
      <c r="I103" s="653"/>
      <c r="J103" s="573"/>
      <c r="K103" s="1502"/>
      <c r="L103" s="216"/>
      <c r="M103" s="343"/>
      <c r="N103" s="336"/>
      <c r="O103" s="1626"/>
      <c r="P103" s="1626"/>
      <c r="AH103" s="1633">
        <v>0</v>
      </c>
    </row>
    <row s="1637" customFormat="1" customHeight="1" ht="45" hidden="1">
      <c r="A104" s="1782" t="s">
        <v>184</v>
      </c>
      <c r="B104" s="1782" t="s">
        <v>185</v>
      </c>
      <c r="C104" s="371"/>
      <c r="D104" s="2464"/>
      <c r="E104" s="2206"/>
      <c r="F104" s="2385" t="str">
        <f>INDEX(PT_DIFFERENTIATION_VTAR,MATCH(A104,PT_DIFFERENTIATION_VTAR_ID,0))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04" s="2429" t="str">
        <f>INDEX(PT_DIFFERENTIATION_NTAR,MATCH(B104,PT_DIFFERENTIATION_NTAR_ID,0))</f>
        <v/>
      </c>
      <c r="H104" s="1864"/>
      <c r="I104" s="1741"/>
      <c r="J104" s="1775"/>
      <c r="K104" s="1780"/>
      <c r="L104" s="1864" t="s">
        <v>315</v>
      </c>
      <c r="M104" s="343"/>
      <c r="N104" s="336"/>
      <c r="O104" s="1626"/>
      <c r="P104" s="1626"/>
      <c r="AH104" s="1633">
        <v>0</v>
      </c>
    </row>
    <row s="1637" customFormat="1" customHeight="1" ht="18.75" hidden="1">
      <c r="A105" s="1782"/>
      <c r="B105" s="1782"/>
      <c r="C105" s="371" t="s">
        <v>1153</v>
      </c>
      <c r="D105" s="2464"/>
      <c r="E105" s="2206"/>
      <c r="F105" s="2385"/>
      <c r="G105" s="2429"/>
      <c r="H105" s="1502"/>
      <c r="I105" s="653" t="s">
        <v>1152</v>
      </c>
      <c r="J105" s="573"/>
      <c r="K105" s="1502"/>
      <c r="L105" s="216"/>
      <c r="M105" s="343"/>
      <c r="N105" s="336"/>
      <c r="O105" s="1626"/>
      <c r="P105" s="1626"/>
      <c r="AH105" s="1633">
        <v>0</v>
      </c>
    </row>
    <row s="1637" customFormat="1" customHeight="1" ht="0.75" hidden="1">
      <c r="A106" s="1782"/>
      <c r="B106" s="1782"/>
      <c r="C106" s="371" t="s">
        <v>1162</v>
      </c>
      <c r="D106" s="2464"/>
      <c r="E106" s="2206"/>
      <c r="F106" s="2385"/>
      <c r="G106" s="402"/>
      <c r="H106" s="1502"/>
      <c r="I106" s="653"/>
      <c r="J106" s="573"/>
      <c r="K106" s="1502"/>
      <c r="L106" s="216"/>
      <c r="M106" s="343"/>
      <c r="N106" s="336"/>
      <c r="O106" s="1626"/>
      <c r="P106" s="1626"/>
      <c r="AH106" s="1633">
        <v>0</v>
      </c>
    </row>
    <row s="1637" customFormat="1" customHeight="1" ht="18.75" hidden="1">
      <c r="A107" s="1782" t="s">
        <v>190</v>
      </c>
      <c r="B107" s="1782" t="s">
        <v>191</v>
      </c>
      <c r="C107" s="371"/>
      <c r="D107" s="2464"/>
      <c r="E107" s="2206"/>
      <c r="F107" s="2385" t="str">
        <f>INDEX(PT_DIFFERENTIATION_VTAR,MATCH(A107,PT_DIFFERENTIATION_VTAR_ID,0))</f>
        <v>Тарифы на услуги по передаче тепловой энергии</v>
      </c>
      <c r="G107" s="2429" t="str">
        <f>INDEX(PT_DIFFERENTIATION_NTAR,MATCH(B107,PT_DIFFERENTIATION_NTAR_ID,0))</f>
        <v/>
      </c>
      <c r="H107" s="1864"/>
      <c r="I107" s="1741"/>
      <c r="J107" s="1775"/>
      <c r="K107" s="1780"/>
      <c r="L107" s="1864" t="s">
        <v>315</v>
      </c>
      <c r="M107" s="343"/>
      <c r="N107" s="336"/>
      <c r="O107" s="1626"/>
      <c r="P107" s="1626"/>
      <c r="AH107" s="1633">
        <v>0</v>
      </c>
    </row>
    <row s="1637" customFormat="1" customHeight="1" ht="18.75" hidden="1">
      <c r="A108" s="1782"/>
      <c r="B108" s="1782"/>
      <c r="C108" s="371" t="s">
        <v>1153</v>
      </c>
      <c r="D108" s="2464"/>
      <c r="E108" s="2206"/>
      <c r="F108" s="2385"/>
      <c r="G108" s="2429"/>
      <c r="H108" s="1502"/>
      <c r="I108" s="653" t="s">
        <v>1152</v>
      </c>
      <c r="J108" s="573"/>
      <c r="K108" s="1502"/>
      <c r="L108" s="216"/>
      <c r="M108" s="343"/>
      <c r="N108" s="336"/>
      <c r="O108" s="1626"/>
      <c r="P108" s="1626"/>
      <c r="AH108" s="1633">
        <v>0</v>
      </c>
    </row>
    <row s="1637" customFormat="1" customHeight="1" ht="0.75" hidden="1">
      <c r="A109" s="1782"/>
      <c r="B109" s="1782"/>
      <c r="C109" s="371" t="s">
        <v>1162</v>
      </c>
      <c r="D109" s="2464"/>
      <c r="E109" s="2206"/>
      <c r="F109" s="2385"/>
      <c r="G109" s="402"/>
      <c r="H109" s="1502"/>
      <c r="I109" s="653"/>
      <c r="J109" s="573"/>
      <c r="K109" s="1502"/>
      <c r="L109" s="216"/>
      <c r="M109" s="343"/>
      <c r="N109" s="336"/>
      <c r="O109" s="1626"/>
      <c r="P109" s="1626"/>
      <c r="AH109" s="1633">
        <v>0</v>
      </c>
    </row>
    <row s="1637" customFormat="1" customHeight="1" ht="18.75" hidden="1">
      <c r="A110" s="1782" t="s">
        <v>196</v>
      </c>
      <c r="B110" s="1782" t="s">
        <v>197</v>
      </c>
      <c r="C110" s="371"/>
      <c r="D110" s="2464"/>
      <c r="E110" s="2206"/>
      <c r="F110" s="2385" t="str">
        <f>INDEX(PT_DIFFERENTIATION_VTAR,MATCH(A110,PT_DIFFERENTIATION_VTAR_ID,0))</f>
        <v>Тарифы на услуги по передаче теплоносителя</v>
      </c>
      <c r="G110" s="2429" t="str">
        <f>INDEX(PT_DIFFERENTIATION_NTAR,MATCH(B110,PT_DIFFERENTIATION_NTAR_ID,0))</f>
        <v/>
      </c>
      <c r="H110" s="1864"/>
      <c r="I110" s="1741"/>
      <c r="J110" s="1775"/>
      <c r="K110" s="1780"/>
      <c r="L110" s="1864" t="s">
        <v>315</v>
      </c>
      <c r="M110" s="343"/>
      <c r="N110" s="336"/>
      <c r="O110" s="1626"/>
      <c r="P110" s="1626"/>
      <c r="AH110" s="1633">
        <v>0</v>
      </c>
    </row>
    <row s="1637" customFormat="1" customHeight="1" ht="18.75" hidden="1">
      <c r="A111" s="1782"/>
      <c r="B111" s="1782"/>
      <c r="C111" s="371" t="s">
        <v>1153</v>
      </c>
      <c r="D111" s="2464"/>
      <c r="E111" s="2206"/>
      <c r="F111" s="2385"/>
      <c r="G111" s="2429"/>
      <c r="H111" s="1502"/>
      <c r="I111" s="653" t="s">
        <v>1152</v>
      </c>
      <c r="J111" s="573"/>
      <c r="K111" s="1502"/>
      <c r="L111" s="216"/>
      <c r="M111" s="343"/>
      <c r="N111" s="336"/>
      <c r="O111" s="1626"/>
      <c r="P111" s="1626"/>
      <c r="AH111" s="1633">
        <v>0</v>
      </c>
    </row>
    <row s="1637" customFormat="1" customHeight="1" ht="0.75" hidden="1">
      <c r="A112" s="1782"/>
      <c r="B112" s="1782"/>
      <c r="C112" s="371" t="s">
        <v>1162</v>
      </c>
      <c r="D112" s="2464"/>
      <c r="E112" s="2206"/>
      <c r="F112" s="2385"/>
      <c r="G112" s="402"/>
      <c r="H112" s="1502"/>
      <c r="I112" s="653"/>
      <c r="J112" s="573"/>
      <c r="K112" s="1502"/>
      <c r="L112" s="216"/>
      <c r="M112" s="343"/>
      <c r="N112" s="336"/>
      <c r="O112" s="1626"/>
      <c r="P112" s="1626"/>
      <c r="AH112" s="1633">
        <v>0</v>
      </c>
    </row>
    <row s="1637" customFormat="1" customHeight="1" ht="18.75" hidden="1">
      <c r="A113" s="1782" t="s">
        <v>202</v>
      </c>
      <c r="B113" s="1782" t="s">
        <v>203</v>
      </c>
      <c r="C113" s="371"/>
      <c r="D113" s="2464"/>
      <c r="E113" s="2206"/>
      <c r="F113" s="2385" t="str">
        <f>INDEX(PT_DIFFERENTIATION_VTAR,MATCH(A113,PT_DIFFERENTIATION_VTAR_ID,0))</f>
        <v>Плата за услуги по поддержанию резервной тепловой мощности при отсутствии потребления тепловой энергии</v>
      </c>
      <c r="G113" s="2429" t="str">
        <f>INDEX(PT_DIFFERENTIATION_NTAR,MATCH(B113,PT_DIFFERENTIATION_NTAR_ID,0))</f>
        <v/>
      </c>
      <c r="H113" s="1864"/>
      <c r="I113" s="1741"/>
      <c r="J113" s="1775"/>
      <c r="K113" s="1780"/>
      <c r="L113" s="1864" t="s">
        <v>315</v>
      </c>
      <c r="M113" s="343"/>
      <c r="N113" s="336"/>
      <c r="O113" s="1626"/>
      <c r="P113" s="1626"/>
      <c r="AH113" s="1633">
        <v>0</v>
      </c>
    </row>
    <row s="1637" customFormat="1" customHeight="1" ht="18.75" hidden="1">
      <c r="A114" s="1782"/>
      <c r="B114" s="1782"/>
      <c r="C114" s="371" t="s">
        <v>1153</v>
      </c>
      <c r="D114" s="2464"/>
      <c r="E114" s="2206"/>
      <c r="F114" s="2385"/>
      <c r="G114" s="2429"/>
      <c r="H114" s="1502"/>
      <c r="I114" s="653" t="s">
        <v>1152</v>
      </c>
      <c r="J114" s="573"/>
      <c r="K114" s="1502"/>
      <c r="L114" s="216"/>
      <c r="M114" s="343"/>
      <c r="N114" s="336"/>
      <c r="O114" s="1626"/>
      <c r="P114" s="1626"/>
      <c r="AH114" s="1633">
        <v>0</v>
      </c>
    </row>
    <row s="1637" customFormat="1" customHeight="1" ht="0.75" hidden="1">
      <c r="A115" s="1782"/>
      <c r="B115" s="1782"/>
      <c r="C115" s="371" t="s">
        <v>1162</v>
      </c>
      <c r="D115" s="2464"/>
      <c r="E115" s="2206"/>
      <c r="F115" s="2385"/>
      <c r="G115" s="402"/>
      <c r="H115" s="1502"/>
      <c r="I115" s="653"/>
      <c r="J115" s="573"/>
      <c r="K115" s="1502"/>
      <c r="L115" s="216"/>
      <c r="M115" s="343"/>
      <c r="N115" s="336"/>
      <c r="O115" s="1626"/>
      <c r="P115" s="1626"/>
      <c r="AH115" s="1633">
        <v>0</v>
      </c>
    </row>
    <row s="1637" customFormat="1" customHeight="1" ht="18.75" hidden="1">
      <c r="A116" s="1782" t="s">
        <v>208</v>
      </c>
      <c r="B116" s="1782" t="s">
        <v>209</v>
      </c>
      <c r="C116" s="371"/>
      <c r="D116" s="2464"/>
      <c r="E116" s="2206"/>
      <c r="F116" s="2385" t="str">
        <f>INDEX(PT_DIFFERENTIATION_VTAR,MATCH(A116,PT_DIFFERENTIATION_VTAR_ID,0))</f>
        <v>Плата за подключение (технологическое присоединение) к системе теплоснабжения</v>
      </c>
      <c r="G116" s="2429" t="str">
        <f>INDEX(PT_DIFFERENTIATION_NTAR,MATCH(B116,PT_DIFFERENTIATION_NTAR_ID,0))</f>
        <v/>
      </c>
      <c r="H116" s="1864"/>
      <c r="I116" s="1741"/>
      <c r="J116" s="1775"/>
      <c r="K116" s="1780"/>
      <c r="L116" s="1864" t="s">
        <v>315</v>
      </c>
      <c r="M116" s="343"/>
      <c r="N116" s="336"/>
      <c r="O116" s="1626"/>
      <c r="P116" s="1626"/>
      <c r="AH116" s="1633">
        <v>0</v>
      </c>
    </row>
    <row s="1637" customFormat="1" customHeight="1" ht="18.75" hidden="1">
      <c r="A117" s="1782"/>
      <c r="B117" s="1782"/>
      <c r="C117" s="371" t="s">
        <v>1153</v>
      </c>
      <c r="D117" s="2464"/>
      <c r="E117" s="2206"/>
      <c r="F117" s="2385"/>
      <c r="G117" s="2429"/>
      <c r="H117" s="1502"/>
      <c r="I117" s="653" t="s">
        <v>1152</v>
      </c>
      <c r="J117" s="573"/>
      <c r="K117" s="1502"/>
      <c r="L117" s="216"/>
      <c r="M117" s="343"/>
      <c r="N117" s="336"/>
      <c r="O117" s="1626"/>
      <c r="P117" s="1626"/>
      <c r="AH117" s="1633">
        <v>0</v>
      </c>
    </row>
    <row s="1637" customFormat="1" customHeight="1" ht="0.75" hidden="1">
      <c r="A118" s="1782"/>
      <c r="B118" s="1782"/>
      <c r="C118" s="371" t="s">
        <v>1162</v>
      </c>
      <c r="D118" s="2464"/>
      <c r="E118" s="2206"/>
      <c r="F118" s="2385"/>
      <c r="G118" s="402"/>
      <c r="H118" s="1502"/>
      <c r="I118" s="653"/>
      <c r="J118" s="573"/>
      <c r="K118" s="1502"/>
      <c r="L118" s="216"/>
      <c r="M118" s="343"/>
      <c r="N118" s="336"/>
      <c r="O118" s="1626"/>
      <c r="P118" s="1626"/>
      <c r="AH118" s="1633">
        <v>0</v>
      </c>
    </row>
    <row s="1637" customFormat="1" customHeight="1" ht="18.75" hidden="1">
      <c r="A119" s="1782" t="s">
        <v>214</v>
      </c>
      <c r="B119" s="1782" t="s">
        <v>215</v>
      </c>
      <c r="C119" s="371"/>
      <c r="D119" s="2464"/>
      <c r="E119" s="2206"/>
      <c r="F119" s="2385" t="str">
        <f>INDEX(PT_DIFFERENTIATION_VTAR,MATCH(A119,PT_DIFFERENTIATION_VTAR_ID,0))</f>
        <v>Плата за подключение (технологическое присоединение) к системе теплоснабжения (индивидуальная)</v>
      </c>
      <c r="G119" s="2429" t="str">
        <f>INDEX(PT_DIFFERENTIATION_NTAR,MATCH(B119,PT_DIFFERENTIATION_NTAR_ID,0))</f>
        <v/>
      </c>
      <c r="H119" s="1991"/>
      <c r="I119" s="1741"/>
      <c r="J119" s="1775"/>
      <c r="K119" s="1780"/>
      <c r="L119" s="1991" t="s">
        <v>315</v>
      </c>
      <c r="M119" s="343"/>
      <c r="N119" s="336"/>
      <c r="O119" s="1626"/>
      <c r="P119" s="1626"/>
      <c r="AH119" s="1633">
        <v>0</v>
      </c>
    </row>
    <row s="1637" customFormat="1" customHeight="1" ht="18.75" hidden="1">
      <c r="A120" s="1782"/>
      <c r="B120" s="1782"/>
      <c r="C120" s="371" t="s">
        <v>1153</v>
      </c>
      <c r="D120" s="2464"/>
      <c r="E120" s="2206"/>
      <c r="F120" s="2385"/>
      <c r="G120" s="2429"/>
      <c r="H120" s="1502"/>
      <c r="I120" s="653" t="s">
        <v>1152</v>
      </c>
      <c r="J120" s="573"/>
      <c r="K120" s="1502"/>
      <c r="L120" s="216"/>
      <c r="M120" s="343"/>
      <c r="N120" s="336"/>
      <c r="O120" s="1626"/>
      <c r="P120" s="1626"/>
      <c r="AH120" s="1633">
        <v>0</v>
      </c>
    </row>
    <row s="1637" customFormat="1" customHeight="1" ht="0.75" hidden="1">
      <c r="A121" s="1782"/>
      <c r="B121" s="1782"/>
      <c r="C121" s="371" t="s">
        <v>1162</v>
      </c>
      <c r="D121" s="2464"/>
      <c r="E121" s="2206"/>
      <c r="F121" s="2385"/>
      <c r="G121" s="402"/>
      <c r="H121" s="1502"/>
      <c r="I121" s="653"/>
      <c r="J121" s="573"/>
      <c r="K121" s="1502"/>
      <c r="L121" s="216"/>
      <c r="M121" s="343"/>
      <c r="N121" s="336"/>
      <c r="O121" s="1626"/>
      <c r="P121" s="1626"/>
      <c r="AH121" s="1633">
        <v>0</v>
      </c>
    </row>
    <row s="1637" customFormat="1" customHeight="1" ht="18.75" hidden="1">
      <c r="A122" s="1782" t="s">
        <v>234</v>
      </c>
      <c r="B122" s="1782" t="s">
        <v>235</v>
      </c>
      <c r="C122" s="371"/>
      <c r="D122" s="2464"/>
      <c r="E122" s="2206"/>
      <c r="F122" s="2385" t="str">
        <f>INDEX(PT_DIFFERENTIATION_VTAR,MATCH(A122,PT_DIFFERENTIATION_VTAR_ID,0))</f>
        <v>Тариф на питьевую воду (питьевое водоснабжение)</v>
      </c>
      <c r="G122" s="2429" t="str">
        <f>INDEX(PT_DIFFERENTIATION_NTAR,MATCH(B122,PT_DIFFERENTIATION_NTAR_ID,0))</f>
        <v/>
      </c>
      <c r="H122" s="1864"/>
      <c r="I122" s="1741"/>
      <c r="J122" s="1775"/>
      <c r="K122" s="1780"/>
      <c r="L122" s="1864" t="s">
        <v>315</v>
      </c>
      <c r="M122" s="343"/>
      <c r="N122" s="336"/>
      <c r="O122" s="1626"/>
      <c r="P122" s="1626"/>
      <c r="AH122" s="1633">
        <v>0</v>
      </c>
    </row>
    <row s="1637" customFormat="1" customHeight="1" ht="18.75" hidden="1">
      <c r="A123" s="1782"/>
      <c r="B123" s="1782"/>
      <c r="C123" s="371" t="s">
        <v>1153</v>
      </c>
      <c r="D123" s="2464"/>
      <c r="E123" s="2206"/>
      <c r="F123" s="2385"/>
      <c r="G123" s="2429"/>
      <c r="H123" s="1502"/>
      <c r="I123" s="653" t="s">
        <v>1152</v>
      </c>
      <c r="J123" s="573"/>
      <c r="K123" s="1502"/>
      <c r="L123" s="216"/>
      <c r="M123" s="343"/>
      <c r="N123" s="336"/>
      <c r="O123" s="1626"/>
      <c r="P123" s="1626"/>
      <c r="AH123" s="1633">
        <v>0</v>
      </c>
    </row>
    <row s="1637" customFormat="1" customHeight="1" ht="0.75" hidden="1">
      <c r="A124" s="1782"/>
      <c r="B124" s="1782"/>
      <c r="C124" s="371" t="s">
        <v>1162</v>
      </c>
      <c r="D124" s="2464"/>
      <c r="E124" s="2206"/>
      <c r="F124" s="2385"/>
      <c r="G124" s="402"/>
      <c r="H124" s="1502"/>
      <c r="I124" s="653"/>
      <c r="J124" s="573"/>
      <c r="K124" s="1502"/>
      <c r="L124" s="216"/>
      <c r="M124" s="343"/>
      <c r="N124" s="336"/>
      <c r="O124" s="1626"/>
      <c r="P124" s="1626"/>
      <c r="AH124" s="1633">
        <v>0</v>
      </c>
    </row>
    <row s="1637" customFormat="1" customHeight="1" ht="18.75" hidden="1">
      <c r="A125" s="1782" t="s">
        <v>239</v>
      </c>
      <c r="B125" s="1782" t="s">
        <v>240</v>
      </c>
      <c r="C125" s="371"/>
      <c r="D125" s="2464"/>
      <c r="E125" s="2206"/>
      <c r="F125" s="2385" t="str">
        <f>INDEX(PT_DIFFERENTIATION_VTAR,MATCH(A125,PT_DIFFERENTIATION_VTAR_ID,0))</f>
        <v>Тариф на техническую воду</v>
      </c>
      <c r="G125" s="2429" t="str">
        <f>INDEX(PT_DIFFERENTIATION_NTAR,MATCH(B125,PT_DIFFERENTIATION_NTAR_ID,0))</f>
        <v/>
      </c>
      <c r="H125" s="1864"/>
      <c r="I125" s="1741"/>
      <c r="J125" s="1775"/>
      <c r="K125" s="1780"/>
      <c r="L125" s="1864" t="s">
        <v>315</v>
      </c>
      <c r="M125" s="343"/>
      <c r="N125" s="336"/>
      <c r="O125" s="1626"/>
      <c r="P125" s="1626"/>
      <c r="AH125" s="1633">
        <v>0</v>
      </c>
    </row>
    <row s="1637" customFormat="1" customHeight="1" ht="18.75" hidden="1">
      <c r="A126" s="1782"/>
      <c r="B126" s="1782"/>
      <c r="C126" s="371" t="s">
        <v>1153</v>
      </c>
      <c r="D126" s="2464"/>
      <c r="E126" s="2206"/>
      <c r="F126" s="2385"/>
      <c r="G126" s="2429"/>
      <c r="H126" s="1502"/>
      <c r="I126" s="653" t="s">
        <v>1152</v>
      </c>
      <c r="J126" s="573"/>
      <c r="K126" s="1502"/>
      <c r="L126" s="216"/>
      <c r="M126" s="343"/>
      <c r="N126" s="336"/>
      <c r="O126" s="1626"/>
      <c r="P126" s="1626"/>
      <c r="AH126" s="1633">
        <v>0</v>
      </c>
    </row>
    <row s="1637" customFormat="1" customHeight="1" ht="0.75" hidden="1">
      <c r="A127" s="1782"/>
      <c r="B127" s="1782"/>
      <c r="C127" s="371" t="s">
        <v>1162</v>
      </c>
      <c r="D127" s="2464"/>
      <c r="E127" s="2206"/>
      <c r="F127" s="2385"/>
      <c r="G127" s="402"/>
      <c r="H127" s="1502"/>
      <c r="I127" s="653"/>
      <c r="J127" s="573"/>
      <c r="K127" s="1502"/>
      <c r="L127" s="216"/>
      <c r="M127" s="343"/>
      <c r="N127" s="336"/>
      <c r="O127" s="1626"/>
      <c r="P127" s="1626"/>
      <c r="AH127" s="1633">
        <v>0</v>
      </c>
    </row>
    <row s="1637" customFormat="1" customHeight="1" ht="18.75" hidden="1">
      <c r="A128" s="1782" t="s">
        <v>244</v>
      </c>
      <c r="B128" s="1782" t="s">
        <v>245</v>
      </c>
      <c r="C128" s="371"/>
      <c r="D128" s="2464"/>
      <c r="E128" s="2206"/>
      <c r="F128" s="2385" t="str">
        <f>INDEX(PT_DIFFERENTIATION_VTAR,MATCH(A128,PT_DIFFERENTIATION_VTAR_ID,0))</f>
        <v>Тариф на транспортировку воды</v>
      </c>
      <c r="G128" s="2429" t="str">
        <f>INDEX(PT_DIFFERENTIATION_NTAR,MATCH(B128,PT_DIFFERENTIATION_NTAR_ID,0))</f>
        <v/>
      </c>
      <c r="H128" s="1864"/>
      <c r="I128" s="1741"/>
      <c r="J128" s="1775"/>
      <c r="K128" s="1780"/>
      <c r="L128" s="1864" t="s">
        <v>315</v>
      </c>
      <c r="M128" s="343"/>
      <c r="N128" s="336"/>
      <c r="O128" s="1626"/>
      <c r="P128" s="1626"/>
      <c r="AH128" s="1633">
        <v>0</v>
      </c>
    </row>
    <row s="1637" customFormat="1" customHeight="1" ht="18.75" hidden="1">
      <c r="A129" s="1782"/>
      <c r="B129" s="1782"/>
      <c r="C129" s="371" t="s">
        <v>1153</v>
      </c>
      <c r="D129" s="2464"/>
      <c r="E129" s="2206"/>
      <c r="F129" s="2385"/>
      <c r="G129" s="2429"/>
      <c r="H129" s="1502"/>
      <c r="I129" s="653" t="s">
        <v>1152</v>
      </c>
      <c r="J129" s="573"/>
      <c r="K129" s="1502"/>
      <c r="L129" s="216"/>
      <c r="M129" s="343"/>
      <c r="N129" s="336"/>
      <c r="O129" s="1626"/>
      <c r="P129" s="1626"/>
      <c r="AH129" s="1633">
        <v>0</v>
      </c>
    </row>
    <row s="1637" customFormat="1" customHeight="1" ht="0.75" hidden="1">
      <c r="A130" s="1782"/>
      <c r="B130" s="1782"/>
      <c r="C130" s="371" t="s">
        <v>1162</v>
      </c>
      <c r="D130" s="2464"/>
      <c r="E130" s="2206"/>
      <c r="F130" s="2385"/>
      <c r="G130" s="402"/>
      <c r="H130" s="1502"/>
      <c r="I130" s="653"/>
      <c r="J130" s="573"/>
      <c r="K130" s="1502"/>
      <c r="L130" s="216"/>
      <c r="M130" s="343"/>
      <c r="N130" s="336"/>
      <c r="O130" s="1626"/>
      <c r="P130" s="1626"/>
      <c r="AH130" s="1633">
        <v>0</v>
      </c>
    </row>
    <row s="1637" customFormat="1" customHeight="1" ht="18.75" hidden="1">
      <c r="A131" s="1782" t="s">
        <v>249</v>
      </c>
      <c r="B131" s="1782" t="s">
        <v>250</v>
      </c>
      <c r="C131" s="371"/>
      <c r="D131" s="2464"/>
      <c r="E131" s="2206"/>
      <c r="F131" s="2385" t="str">
        <f>INDEX(PT_DIFFERENTIATION_VTAR,MATCH(A131,PT_DIFFERENTIATION_VTAR_ID,0))</f>
        <v>Тариф на подвоз воды</v>
      </c>
      <c r="G131" s="2429" t="str">
        <f>INDEX(PT_DIFFERENTIATION_NTAR,MATCH(B131,PT_DIFFERENTIATION_NTAR_ID,0))</f>
        <v/>
      </c>
      <c r="H131" s="1864"/>
      <c r="I131" s="1741"/>
      <c r="J131" s="1775"/>
      <c r="K131" s="1780"/>
      <c r="L131" s="1864" t="s">
        <v>315</v>
      </c>
      <c r="M131" s="343"/>
      <c r="N131" s="336"/>
      <c r="O131" s="1626"/>
      <c r="P131" s="1626"/>
      <c r="AH131" s="1633">
        <v>0</v>
      </c>
    </row>
    <row s="1637" customFormat="1" customHeight="1" ht="18.75" hidden="1">
      <c r="A132" s="1782"/>
      <c r="B132" s="1782"/>
      <c r="C132" s="371" t="s">
        <v>1153</v>
      </c>
      <c r="D132" s="2464"/>
      <c r="E132" s="2206"/>
      <c r="F132" s="2385"/>
      <c r="G132" s="2429"/>
      <c r="H132" s="1502"/>
      <c r="I132" s="653" t="s">
        <v>1152</v>
      </c>
      <c r="J132" s="573"/>
      <c r="K132" s="1502"/>
      <c r="L132" s="216"/>
      <c r="M132" s="343"/>
      <c r="N132" s="336"/>
      <c r="O132" s="1626"/>
      <c r="P132" s="1626"/>
      <c r="AH132" s="1633">
        <v>0</v>
      </c>
    </row>
    <row s="1637" customFormat="1" customHeight="1" ht="0.75" hidden="1">
      <c r="A133" s="1782"/>
      <c r="B133" s="1782"/>
      <c r="C133" s="371" t="s">
        <v>1162</v>
      </c>
      <c r="D133" s="2464"/>
      <c r="E133" s="2206"/>
      <c r="F133" s="2385"/>
      <c r="G133" s="402"/>
      <c r="H133" s="1502"/>
      <c r="I133" s="653"/>
      <c r="J133" s="573"/>
      <c r="K133" s="1502"/>
      <c r="L133" s="216"/>
      <c r="M133" s="343"/>
      <c r="N133" s="336"/>
      <c r="O133" s="1626"/>
      <c r="P133" s="1626"/>
      <c r="AH133" s="1633">
        <v>0</v>
      </c>
    </row>
    <row s="1637" customFormat="1" customHeight="1" ht="18.75" hidden="1">
      <c r="A134" s="1782" t="s">
        <v>254</v>
      </c>
      <c r="B134" s="1782" t="s">
        <v>255</v>
      </c>
      <c r="C134" s="371"/>
      <c r="D134" s="2464"/>
      <c r="E134" s="2206"/>
      <c r="F134" s="2385" t="str">
        <f>INDEX(PT_DIFFERENTIATION_VTAR,MATCH(A134,PT_DIFFERENTIATION_VTAR_ID,0))</f>
        <v>Тариф на подключение (технологическое присоединение) к централизованной системе холодного водоснабжения</v>
      </c>
      <c r="G134" s="2429" t="str">
        <f>INDEX(PT_DIFFERENTIATION_NTAR,MATCH(B134,PT_DIFFERENTIATION_NTAR_ID,0))</f>
        <v/>
      </c>
      <c r="H134" s="1864"/>
      <c r="I134" s="1741"/>
      <c r="J134" s="1775"/>
      <c r="K134" s="1780"/>
      <c r="L134" s="1864" t="s">
        <v>315</v>
      </c>
      <c r="M134" s="343"/>
      <c r="N134" s="336"/>
      <c r="O134" s="1626"/>
      <c r="P134" s="1626"/>
      <c r="AH134" s="1633">
        <v>0</v>
      </c>
    </row>
    <row s="1637" customFormat="1" customHeight="1" ht="18.75" hidden="1">
      <c r="A135" s="1782"/>
      <c r="B135" s="1782"/>
      <c r="C135" s="371" t="s">
        <v>1153</v>
      </c>
      <c r="D135" s="2464"/>
      <c r="E135" s="2206"/>
      <c r="F135" s="2385"/>
      <c r="G135" s="2429"/>
      <c r="H135" s="1502"/>
      <c r="I135" s="653" t="s">
        <v>1152</v>
      </c>
      <c r="J135" s="573"/>
      <c r="K135" s="1502"/>
      <c r="L135" s="216"/>
      <c r="M135" s="343"/>
      <c r="N135" s="336"/>
      <c r="O135" s="1626"/>
      <c r="P135" s="1626"/>
      <c r="AH135" s="1633">
        <v>0</v>
      </c>
    </row>
    <row s="1637" customFormat="1" customHeight="1" ht="0.75" hidden="1">
      <c r="A136" s="1782"/>
      <c r="B136" s="1782"/>
      <c r="C136" s="371" t="s">
        <v>1162</v>
      </c>
      <c r="D136" s="2464"/>
      <c r="E136" s="2206"/>
      <c r="F136" s="2385"/>
      <c r="G136" s="402"/>
      <c r="H136" s="1502"/>
      <c r="I136" s="653"/>
      <c r="J136" s="573"/>
      <c r="K136" s="1502"/>
      <c r="L136" s="216"/>
      <c r="M136" s="343"/>
      <c r="N136" s="336"/>
      <c r="O136" s="1626"/>
      <c r="P136" s="1626"/>
      <c r="AH136" s="1633">
        <v>0</v>
      </c>
    </row>
    <row s="1637" customFormat="1" customHeight="1" ht="18.75" hidden="1">
      <c r="A137" s="1782" t="s">
        <v>259</v>
      </c>
      <c r="B137" s="1782" t="s">
        <v>260</v>
      </c>
      <c r="C137" s="371"/>
      <c r="D137" s="2464"/>
      <c r="E137" s="2206"/>
      <c r="F137" s="2385" t="str">
        <f>INDEX(PT_DIFFERENTIATION_VTAR,MATCH(A137,PT_DIFFERENTIATION_VTAR_ID,0))</f>
        <v>Тариф на горячую воду (горячее водоснабжение)</v>
      </c>
      <c r="G137" s="2429" t="str">
        <f>INDEX(PT_DIFFERENTIATION_NTAR,MATCH(B137,PT_DIFFERENTIATION_NTAR_ID,0))</f>
        <v/>
      </c>
      <c r="H137" s="1864"/>
      <c r="I137" s="1741"/>
      <c r="J137" s="1775"/>
      <c r="K137" s="1780"/>
      <c r="L137" s="1864" t="s">
        <v>315</v>
      </c>
      <c r="M137" s="343"/>
      <c r="N137" s="336"/>
      <c r="O137" s="1626"/>
      <c r="P137" s="1626"/>
      <c r="AH137" s="1633">
        <v>0</v>
      </c>
    </row>
    <row s="1637" customFormat="1" customHeight="1" ht="18.75" hidden="1">
      <c r="A138" s="1782"/>
      <c r="B138" s="1782"/>
      <c r="C138" s="371" t="s">
        <v>1153</v>
      </c>
      <c r="D138" s="2464"/>
      <c r="E138" s="2206"/>
      <c r="F138" s="2385"/>
      <c r="G138" s="2429"/>
      <c r="H138" s="1502"/>
      <c r="I138" s="653" t="s">
        <v>1152</v>
      </c>
      <c r="J138" s="573"/>
      <c r="K138" s="1502"/>
      <c r="L138" s="216"/>
      <c r="M138" s="343"/>
      <c r="N138" s="336"/>
      <c r="O138" s="1626"/>
      <c r="P138" s="1626"/>
      <c r="AH138" s="1633">
        <v>0</v>
      </c>
    </row>
    <row s="1637" customFormat="1" customHeight="1" ht="0.75" hidden="1">
      <c r="A139" s="1782"/>
      <c r="B139" s="1782"/>
      <c r="C139" s="371" t="s">
        <v>1162</v>
      </c>
      <c r="D139" s="2464"/>
      <c r="E139" s="2206"/>
      <c r="F139" s="2385"/>
      <c r="G139" s="402"/>
      <c r="H139" s="1502"/>
      <c r="I139" s="653"/>
      <c r="J139" s="573"/>
      <c r="K139" s="1502"/>
      <c r="L139" s="216"/>
      <c r="M139" s="343"/>
      <c r="N139" s="336"/>
      <c r="O139" s="1626"/>
      <c r="P139" s="1626"/>
      <c r="AH139" s="1633">
        <v>0</v>
      </c>
    </row>
    <row s="1637" customFormat="1" customHeight="1" ht="18.75" hidden="1">
      <c r="A140" s="1782" t="s">
        <v>264</v>
      </c>
      <c r="B140" s="1782" t="s">
        <v>265</v>
      </c>
      <c r="C140" s="371"/>
      <c r="D140" s="2464"/>
      <c r="E140" s="2206"/>
      <c r="F140" s="2385" t="str">
        <f>INDEX(PT_DIFFERENTIATION_VTAR,MATCH(A140,PT_DIFFERENTIATION_VTAR_ID,0))</f>
        <v>Тариф на транспортировку горячей воды</v>
      </c>
      <c r="G140" s="2429" t="str">
        <f>INDEX(PT_DIFFERENTIATION_NTAR,MATCH(B140,PT_DIFFERENTIATION_NTAR_ID,0))</f>
        <v/>
      </c>
      <c r="H140" s="1864"/>
      <c r="I140" s="1741"/>
      <c r="J140" s="1775"/>
      <c r="K140" s="1780"/>
      <c r="L140" s="1864" t="s">
        <v>315</v>
      </c>
      <c r="M140" s="343"/>
      <c r="N140" s="336"/>
      <c r="O140" s="1626"/>
      <c r="P140" s="1626"/>
      <c r="AH140" s="1633">
        <v>0</v>
      </c>
    </row>
    <row s="1637" customFormat="1" customHeight="1" ht="18.75" hidden="1">
      <c r="A141" s="1782"/>
      <c r="B141" s="1782"/>
      <c r="C141" s="371" t="s">
        <v>1153</v>
      </c>
      <c r="D141" s="2464"/>
      <c r="E141" s="2206"/>
      <c r="F141" s="2385"/>
      <c r="G141" s="2429"/>
      <c r="H141" s="1502"/>
      <c r="I141" s="653" t="s">
        <v>1152</v>
      </c>
      <c r="J141" s="573"/>
      <c r="K141" s="1502"/>
      <c r="L141" s="216"/>
      <c r="M141" s="343"/>
      <c r="N141" s="336"/>
      <c r="O141" s="1626"/>
      <c r="P141" s="1626"/>
      <c r="AH141" s="1633">
        <v>0</v>
      </c>
    </row>
    <row s="1637" customFormat="1" customHeight="1" ht="0.75" hidden="1">
      <c r="A142" s="1782"/>
      <c r="B142" s="1782"/>
      <c r="C142" s="371" t="s">
        <v>1162</v>
      </c>
      <c r="D142" s="2464"/>
      <c r="E142" s="2206"/>
      <c r="F142" s="2385"/>
      <c r="G142" s="402"/>
      <c r="H142" s="1502"/>
      <c r="I142" s="653"/>
      <c r="J142" s="573"/>
      <c r="K142" s="1502"/>
      <c r="L142" s="216"/>
      <c r="M142" s="343"/>
      <c r="N142" s="336"/>
      <c r="O142" s="1626"/>
      <c r="P142" s="1626"/>
      <c r="AH142" s="1633">
        <v>0</v>
      </c>
    </row>
    <row s="1637" customFormat="1" customHeight="1" ht="18.75" hidden="1">
      <c r="A143" s="1782" t="s">
        <v>269</v>
      </c>
      <c r="B143" s="1782" t="s">
        <v>270</v>
      </c>
      <c r="C143" s="371"/>
      <c r="D143" s="2464"/>
      <c r="E143" s="2206"/>
      <c r="F143" s="2385" t="str">
        <f>INDEX(PT_DIFFERENTIATION_VTAR,MATCH(A143,PT_DIFFERENTIATION_VTAR_ID,0))</f>
        <v>Тариф на подключение (технологическое присоединение) к централизованной системе горячего водоснабжения</v>
      </c>
      <c r="G143" s="2429" t="str">
        <f>INDEX(PT_DIFFERENTIATION_NTAR,MATCH(B143,PT_DIFFERENTIATION_NTAR_ID,0))</f>
        <v/>
      </c>
      <c r="H143" s="1864"/>
      <c r="I143" s="1741"/>
      <c r="J143" s="1775"/>
      <c r="K143" s="1780"/>
      <c r="L143" s="1864" t="s">
        <v>315</v>
      </c>
      <c r="M143" s="343"/>
      <c r="N143" s="336"/>
      <c r="O143" s="1626"/>
      <c r="P143" s="1626"/>
      <c r="AH143" s="1633">
        <v>0</v>
      </c>
    </row>
    <row s="1637" customFormat="1" customHeight="1" ht="18.75" hidden="1">
      <c r="A144" s="1782"/>
      <c r="B144" s="1782"/>
      <c r="C144" s="371" t="s">
        <v>1153</v>
      </c>
      <c r="D144" s="2464"/>
      <c r="E144" s="2206"/>
      <c r="F144" s="2385"/>
      <c r="G144" s="2429"/>
      <c r="H144" s="1502"/>
      <c r="I144" s="653" t="s">
        <v>1152</v>
      </c>
      <c r="J144" s="573"/>
      <c r="K144" s="1502"/>
      <c r="L144" s="216"/>
      <c r="M144" s="343"/>
      <c r="N144" s="336"/>
      <c r="O144" s="1626"/>
      <c r="P144" s="1626"/>
      <c r="AH144" s="1633">
        <v>0</v>
      </c>
    </row>
    <row s="1637" customFormat="1" customHeight="1" ht="0.75" hidden="1">
      <c r="A145" s="1782"/>
      <c r="B145" s="1782"/>
      <c r="C145" s="371" t="s">
        <v>1162</v>
      </c>
      <c r="D145" s="2464"/>
      <c r="E145" s="2206"/>
      <c r="F145" s="2385"/>
      <c r="G145" s="402"/>
      <c r="H145" s="1502"/>
      <c r="I145" s="653"/>
      <c r="J145" s="573"/>
      <c r="K145" s="1502"/>
      <c r="L145" s="216"/>
      <c r="M145" s="343"/>
      <c r="N145" s="336"/>
      <c r="O145" s="1626"/>
      <c r="P145" s="1626"/>
      <c r="AH145" s="1633">
        <v>0</v>
      </c>
    </row>
    <row s="1637" customFormat="1" customHeight="1" ht="18.75" hidden="1">
      <c r="A146" s="1782" t="s">
        <v>274</v>
      </c>
      <c r="B146" s="1782" t="s">
        <v>275</v>
      </c>
      <c r="C146" s="371"/>
      <c r="D146" s="2464"/>
      <c r="E146" s="2206"/>
      <c r="F146" s="2385" t="str">
        <f>INDEX(PT_DIFFERENTIATION_VTAR,MATCH(A146,PT_DIFFERENTIATION_VTAR_ID,0))</f>
        <v>Тариф на водоотведение</v>
      </c>
      <c r="G146" s="2429" t="str">
        <f>INDEX(PT_DIFFERENTIATION_NTAR,MATCH(B146,PT_DIFFERENTIATION_NTAR_ID,0))</f>
        <v/>
      </c>
      <c r="H146" s="1864"/>
      <c r="I146" s="1741"/>
      <c r="J146" s="1775"/>
      <c r="K146" s="1780"/>
      <c r="L146" s="1864" t="s">
        <v>315</v>
      </c>
      <c r="M146" s="343"/>
      <c r="N146" s="336"/>
      <c r="O146" s="1626"/>
      <c r="P146" s="1626"/>
      <c r="AH146" s="1633">
        <v>0</v>
      </c>
    </row>
    <row s="1637" customFormat="1" customHeight="1" ht="18.75" hidden="1">
      <c r="A147" s="1782"/>
      <c r="B147" s="1782"/>
      <c r="C147" s="371" t="s">
        <v>1153</v>
      </c>
      <c r="D147" s="2464"/>
      <c r="E147" s="2206"/>
      <c r="F147" s="2385"/>
      <c r="G147" s="2429"/>
      <c r="H147" s="1502"/>
      <c r="I147" s="653" t="s">
        <v>1152</v>
      </c>
      <c r="J147" s="573"/>
      <c r="K147" s="1502"/>
      <c r="L147" s="216"/>
      <c r="M147" s="343"/>
      <c r="N147" s="336"/>
      <c r="O147" s="1626"/>
      <c r="P147" s="1626"/>
      <c r="AH147" s="1633">
        <v>0</v>
      </c>
    </row>
    <row s="1637" customFormat="1" customHeight="1" ht="0.75" hidden="1">
      <c r="A148" s="1782"/>
      <c r="B148" s="1782"/>
      <c r="C148" s="371" t="s">
        <v>1162</v>
      </c>
      <c r="D148" s="2464"/>
      <c r="E148" s="2206"/>
      <c r="F148" s="2385"/>
      <c r="G148" s="402"/>
      <c r="H148" s="1502"/>
      <c r="I148" s="653"/>
      <c r="J148" s="573"/>
      <c r="K148" s="1502"/>
      <c r="L148" s="216"/>
      <c r="M148" s="343"/>
      <c r="N148" s="336"/>
      <c r="O148" s="1626"/>
      <c r="P148" s="1626"/>
      <c r="AH148" s="1633">
        <v>0</v>
      </c>
    </row>
    <row s="1637" customFormat="1" customHeight="1" ht="18.75" hidden="1">
      <c r="A149" s="1782" t="s">
        <v>279</v>
      </c>
      <c r="B149" s="1782" t="s">
        <v>280</v>
      </c>
      <c r="C149" s="371"/>
      <c r="D149" s="2464"/>
      <c r="E149" s="2206"/>
      <c r="F149" s="2385" t="str">
        <f>INDEX(PT_DIFFERENTIATION_VTAR,MATCH(A149,PT_DIFFERENTIATION_VTAR_ID,0))</f>
        <v>Тариф на транспортировку сточных вод</v>
      </c>
      <c r="G149" s="2429" t="str">
        <f>INDEX(PT_DIFFERENTIATION_NTAR,MATCH(B149,PT_DIFFERENTIATION_NTAR_ID,0))</f>
        <v/>
      </c>
      <c r="H149" s="1864"/>
      <c r="I149" s="1741"/>
      <c r="J149" s="1775"/>
      <c r="K149" s="1780"/>
      <c r="L149" s="1864" t="s">
        <v>315</v>
      </c>
      <c r="M149" s="343"/>
      <c r="N149" s="336"/>
      <c r="O149" s="1626"/>
      <c r="P149" s="1626"/>
      <c r="AH149" s="1633">
        <v>0</v>
      </c>
    </row>
    <row s="1637" customFormat="1" customHeight="1" ht="18.75" hidden="1">
      <c r="A150" s="1782"/>
      <c r="B150" s="1782"/>
      <c r="C150" s="371" t="s">
        <v>1153</v>
      </c>
      <c r="D150" s="2464"/>
      <c r="E150" s="2206"/>
      <c r="F150" s="2385"/>
      <c r="G150" s="2429"/>
      <c r="H150" s="1502"/>
      <c r="I150" s="653" t="s">
        <v>1152</v>
      </c>
      <c r="J150" s="573"/>
      <c r="K150" s="1502"/>
      <c r="L150" s="216"/>
      <c r="M150" s="343"/>
      <c r="N150" s="336"/>
      <c r="O150" s="1626"/>
      <c r="P150" s="1626"/>
      <c r="AH150" s="1633">
        <v>0</v>
      </c>
    </row>
    <row s="1637" customFormat="1" customHeight="1" ht="0.75" hidden="1">
      <c r="A151" s="1782"/>
      <c r="B151" s="1782"/>
      <c r="C151" s="371" t="s">
        <v>1162</v>
      </c>
      <c r="D151" s="2464"/>
      <c r="E151" s="2206"/>
      <c r="F151" s="2385"/>
      <c r="G151" s="402"/>
      <c r="H151" s="1502"/>
      <c r="I151" s="653"/>
      <c r="J151" s="573"/>
      <c r="K151" s="1502"/>
      <c r="L151" s="216"/>
      <c r="M151" s="343"/>
      <c r="N151" s="336"/>
      <c r="O151" s="1626"/>
      <c r="P151" s="1626"/>
      <c r="AH151" s="1633">
        <v>0</v>
      </c>
    </row>
    <row s="1637" customFormat="1" customHeight="1" ht="18.75" hidden="1">
      <c r="A152" s="1782" t="s">
        <v>284</v>
      </c>
      <c r="B152" s="1782" t="s">
        <v>285</v>
      </c>
      <c r="C152" s="371"/>
      <c r="D152" s="2464"/>
      <c r="E152" s="2206"/>
      <c r="F152" s="2385" t="str">
        <f>INDEX(PT_DIFFERENTIATION_VTAR,MATCH(A152,PT_DIFFERENTIATION_VTAR_ID,0))</f>
        <v>Тариф на подключение (технологическое присоединение) к централизованной системе водоотведения</v>
      </c>
      <c r="G152" s="2429" t="str">
        <f>INDEX(PT_DIFFERENTIATION_NTAR,MATCH(B152,PT_DIFFERENTIATION_NTAR_ID,0))</f>
        <v/>
      </c>
      <c r="H152" s="1864"/>
      <c r="I152" s="1741"/>
      <c r="J152" s="1775"/>
      <c r="K152" s="1780"/>
      <c r="L152" s="1864" t="s">
        <v>315</v>
      </c>
      <c r="M152" s="343"/>
      <c r="N152" s="336"/>
      <c r="O152" s="1626"/>
      <c r="P152" s="1626"/>
      <c r="AH152" s="1633">
        <v>0</v>
      </c>
    </row>
    <row s="1637" customFormat="1" customHeight="1" ht="18.75" hidden="1">
      <c r="A153" s="1782"/>
      <c r="B153" s="1782"/>
      <c r="C153" s="371" t="s">
        <v>1153</v>
      </c>
      <c r="D153" s="2464"/>
      <c r="E153" s="2206"/>
      <c r="F153" s="2385"/>
      <c r="G153" s="2429"/>
      <c r="H153" s="1502"/>
      <c r="I153" s="653" t="s">
        <v>1152</v>
      </c>
      <c r="J153" s="573"/>
      <c r="K153" s="1502"/>
      <c r="L153" s="216"/>
      <c r="M153" s="343"/>
      <c r="N153" s="336"/>
      <c r="O153" s="1626"/>
      <c r="P153" s="1626"/>
      <c r="AH153" s="1633">
        <v>0</v>
      </c>
    </row>
    <row s="1637" customFormat="1" customHeight="1" ht="0.75">
      <c r="A154" s="1782"/>
      <c r="B154" s="1782"/>
      <c r="C154" s="371" t="s">
        <v>1162</v>
      </c>
      <c r="D154" s="2464"/>
      <c r="E154" s="2206"/>
      <c r="F154" s="2385"/>
      <c r="G154" s="402"/>
      <c r="H154" s="1502"/>
      <c r="I154" s="653"/>
      <c r="J154" s="573"/>
      <c r="K154" s="1502"/>
      <c r="L154" s="216"/>
      <c r="M154" s="343"/>
      <c r="N154" s="336"/>
      <c r="O154" s="1626"/>
      <c r="P154" s="1626"/>
      <c r="AH154" s="1633">
        <v>1</v>
      </c>
    </row>
    <row customHeight="1" ht="20.25">
      <c r="A155" s="1782"/>
      <c r="B155" s="1782"/>
      <c r="D155" s="378"/>
      <c r="E155" s="149" t="s">
        <v>93</v>
      </c>
      <c r="F155"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55" s="2462"/>
      <c r="H155" s="2462"/>
      <c r="I155" s="2462"/>
      <c r="J155" s="2462"/>
      <c r="K155" s="2462"/>
      <c r="L155" s="2462"/>
      <c r="M155" s="299"/>
      <c r="N155" s="336"/>
      <c r="AH155" s="376">
        <v>19</v>
      </c>
    </row>
    <row s="1637" customFormat="1" customHeight="1" ht="60.75" hidden="1">
      <c r="A156" s="1782" t="s">
        <v>157</v>
      </c>
      <c r="B156" s="1782" t="s">
        <v>158</v>
      </c>
      <c r="C156" s="371"/>
      <c r="D156" s="2464"/>
      <c r="E156" s="2206"/>
      <c r="F156" s="2385" t="str">
        <f>INDEX(PT_DIFFERENTIATION_VTAR,MATCH(A156,PT_DIFFERENTIATION_VTAR_ID,0))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56" s="2429" t="str">
        <f>INDEX(PT_DIFFERENTIATION_NTAR,MATCH(B156,PT_DIFFERENTIATION_NTAR_ID,0))</f>
        <v/>
      </c>
      <c r="H156" s="1864"/>
      <c r="I156" s="1741"/>
      <c r="J156" s="1775"/>
      <c r="K156" s="1780"/>
      <c r="L156" s="1864" t="s">
        <v>315</v>
      </c>
      <c r="M156"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56" s="336"/>
      <c r="O156" s="1626"/>
      <c r="P156" s="1626"/>
      <c r="AH156" s="1633">
        <v>0</v>
      </c>
    </row>
    <row s="1637" customFormat="1" customHeight="1" ht="18.75" hidden="1">
      <c r="A157" s="1782"/>
      <c r="B157" s="1782"/>
      <c r="C157" s="371" t="s">
        <v>1153</v>
      </c>
      <c r="D157" s="2464"/>
      <c r="E157" s="2206"/>
      <c r="F157" s="2385"/>
      <c r="G157" s="2429"/>
      <c r="H157" s="1502"/>
      <c r="I157" s="653" t="s">
        <v>1152</v>
      </c>
      <c r="J157" s="573"/>
      <c r="K157" s="1502"/>
      <c r="L157" s="216"/>
      <c r="M157" s="2172"/>
      <c r="N157" s="336"/>
      <c r="O157" s="1626"/>
      <c r="P157" s="1626"/>
      <c r="AH157" s="1633">
        <v>0</v>
      </c>
    </row>
    <row s="1637" customFormat="1" customHeight="1" ht="0.75" hidden="1">
      <c r="A158" s="1782"/>
      <c r="B158" s="1782"/>
      <c r="C158" s="371" t="s">
        <v>1162</v>
      </c>
      <c r="D158" s="2464"/>
      <c r="E158" s="2206"/>
      <c r="F158" s="2385"/>
      <c r="G158" s="402"/>
      <c r="H158" s="1502"/>
      <c r="I158" s="653"/>
      <c r="J158" s="573"/>
      <c r="K158" s="1502"/>
      <c r="L158" s="216"/>
      <c r="M158" s="2172"/>
      <c r="N158" s="336"/>
      <c r="O158" s="1626"/>
      <c r="P158" s="1626"/>
      <c r="AH158" s="1633">
        <v>0</v>
      </c>
    </row>
    <row s="1637" customFormat="1" customHeight="1" ht="45">
      <c r="A159" s="1782" t="s">
        <v>167</v>
      </c>
      <c r="B159" s="1782" t="s">
        <v>168</v>
      </c>
      <c r="C159" s="371"/>
      <c r="D159" s="2464"/>
      <c r="E159" s="2206"/>
      <c r="F159" s="2385" t="str">
        <f>INDEX(PT_DIFFERENTIATION_VTAR,MATCH(A159,PT_DIFFERENTIATION_VTAR_ID,0))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159" s="2429" t="str">
        <f>INDEX(PT_DIFFERENTIATION_NTAR,MATCH(B159,PT_DIFFERENTIATION_NTAR_ID,0))</f>
        <v>Тариф на тепловую энергию</v>
      </c>
      <c r="H159" s="1864"/>
      <c r="I159" s="1741" t="s">
        <v>1163</v>
      </c>
      <c r="J159" s="1775" t="s">
        <v>1164</v>
      </c>
      <c r="K159" s="1780">
        <v>141.1</v>
      </c>
      <c r="L159" s="1864" t="s">
        <v>315</v>
      </c>
      <c r="M159" s="2173"/>
      <c r="N159" s="336"/>
      <c r="O159" s="1626"/>
      <c r="P159" s="1626"/>
      <c r="AH159" s="1633">
        <v>0</v>
      </c>
    </row>
    <row s="1637" customFormat="1" customHeight="1" ht="56.25">
      <c r="A160" s="1825"/>
      <c r="B160" s="1825"/>
      <c r="C160" s="1689"/>
      <c r="D160" s="346"/>
      <c r="E160" s="1033"/>
      <c r="F160" s="1033"/>
      <c r="G160" s="1033"/>
      <c r="H160" s="2579" t="s">
        <v>454</v>
      </c>
      <c r="I160" s="1741" t="s">
        <v>1165</v>
      </c>
      <c r="J160" s="1775" t="s">
        <v>1166</v>
      </c>
      <c r="K160" s="1780">
        <v>136.21</v>
      </c>
      <c r="L160" s="2273" t="s">
        <v>315</v>
      </c>
      <c r="M160" s="2320"/>
      <c r="N160" s="620"/>
      <c r="O160" s="1626"/>
      <c r="P160" s="1626"/>
      <c r="Q160" s="1637"/>
      <c r="R160" s="1637"/>
      <c r="S160" s="1637"/>
      <c r="T160" s="1637"/>
      <c r="U160" s="1637"/>
      <c r="V160" s="1637"/>
      <c r="W160" s="1637"/>
      <c r="X160" s="1637"/>
      <c r="Y160" s="1637"/>
      <c r="Z160" s="1637"/>
      <c r="AA160" s="1637"/>
      <c r="AB160" s="1637"/>
      <c r="AC160" s="1637"/>
      <c r="AD160" s="1637"/>
      <c r="AE160" s="1637"/>
      <c r="AF160" s="1637"/>
      <c r="AG160" s="1637"/>
      <c r="AH160" s="1637">
        <v>0</v>
      </c>
    </row>
    <row s="1637" customFormat="1" customHeight="1" ht="56.25">
      <c r="A161" s="1825"/>
      <c r="B161" s="1825"/>
      <c r="C161" s="1689"/>
      <c r="D161" s="346"/>
      <c r="E161" s="1033"/>
      <c r="F161" s="1033"/>
      <c r="G161" s="1033"/>
      <c r="H161" s="2579" t="s">
        <v>454</v>
      </c>
      <c r="I161" s="1741" t="s">
        <v>1167</v>
      </c>
      <c r="J161" s="1775" t="s">
        <v>1168</v>
      </c>
      <c r="K161" s="1780">
        <v>130.81</v>
      </c>
      <c r="L161" s="2273" t="s">
        <v>315</v>
      </c>
      <c r="M161" s="2320"/>
      <c r="N161" s="620"/>
      <c r="O161" s="1626"/>
      <c r="P161" s="1626"/>
      <c r="Q161" s="1637"/>
      <c r="R161" s="1637"/>
      <c r="S161" s="1637"/>
      <c r="T161" s="1637"/>
      <c r="U161" s="1637"/>
      <c r="V161" s="1637"/>
      <c r="W161" s="1637"/>
      <c r="X161" s="1637"/>
      <c r="Y161" s="1637"/>
      <c r="Z161" s="1637"/>
      <c r="AA161" s="1637"/>
      <c r="AB161" s="1637"/>
      <c r="AC161" s="1637"/>
      <c r="AD161" s="1637"/>
      <c r="AE161" s="1637"/>
      <c r="AF161" s="1637"/>
      <c r="AG161" s="1637"/>
      <c r="AH161" s="1637">
        <v>0</v>
      </c>
    </row>
    <row s="1637" customFormat="1" customHeight="1" ht="56.25">
      <c r="A162" s="1825"/>
      <c r="B162" s="1825"/>
      <c r="C162" s="1689"/>
      <c r="D162" s="346"/>
      <c r="E162" s="1033"/>
      <c r="F162" s="1033"/>
      <c r="G162" s="1033"/>
      <c r="H162" s="2579" t="s">
        <v>454</v>
      </c>
      <c r="I162" s="1741" t="s">
        <v>1169</v>
      </c>
      <c r="J162" s="1775" t="s">
        <v>1170</v>
      </c>
      <c r="K162" s="1780">
        <v>130.81</v>
      </c>
      <c r="L162" s="2273" t="s">
        <v>315</v>
      </c>
      <c r="M162" s="2320"/>
      <c r="N162" s="620"/>
      <c r="O162" s="1626"/>
      <c r="P162" s="1626"/>
      <c r="Q162" s="1637"/>
      <c r="R162" s="1637"/>
      <c r="S162" s="1637"/>
      <c r="T162" s="1637"/>
      <c r="U162" s="1637"/>
      <c r="V162" s="1637"/>
      <c r="W162" s="1637"/>
      <c r="X162" s="1637"/>
      <c r="Y162" s="1637"/>
      <c r="Z162" s="1637"/>
      <c r="AA162" s="1637"/>
      <c r="AB162" s="1637"/>
      <c r="AC162" s="1637"/>
      <c r="AD162" s="1637"/>
      <c r="AE162" s="1637"/>
      <c r="AF162" s="1637"/>
      <c r="AG162" s="1637"/>
      <c r="AH162" s="1637">
        <v>0</v>
      </c>
    </row>
    <row s="1637" customFormat="1" customHeight="1" ht="56.25">
      <c r="A163" s="1825"/>
      <c r="B163" s="1825"/>
      <c r="C163" s="1689"/>
      <c r="D163" s="346"/>
      <c r="E163" s="1033"/>
      <c r="F163" s="1033"/>
      <c r="G163" s="1033"/>
      <c r="H163" s="2579" t="s">
        <v>454</v>
      </c>
      <c r="I163" s="1741" t="s">
        <v>1171</v>
      </c>
      <c r="J163" s="1775" t="s">
        <v>1172</v>
      </c>
      <c r="K163" s="1780">
        <v>130.81</v>
      </c>
      <c r="L163" s="2273" t="s">
        <v>315</v>
      </c>
      <c r="M163" s="2320"/>
      <c r="N163" s="620"/>
      <c r="O163" s="1626"/>
      <c r="P163" s="1626"/>
      <c r="Q163" s="1637"/>
      <c r="R163" s="1637"/>
      <c r="S163" s="1637"/>
      <c r="T163" s="1637"/>
      <c r="U163" s="1637"/>
      <c r="V163" s="1637"/>
      <c r="W163" s="1637"/>
      <c r="X163" s="1637"/>
      <c r="Y163" s="1637"/>
      <c r="Z163" s="1637"/>
      <c r="AA163" s="1637"/>
      <c r="AB163" s="1637"/>
      <c r="AC163" s="1637"/>
      <c r="AD163" s="1637"/>
      <c r="AE163" s="1637"/>
      <c r="AF163" s="1637"/>
      <c r="AG163" s="1637"/>
      <c r="AH163" s="1637">
        <v>0</v>
      </c>
    </row>
    <row s="1637" customFormat="1" customHeight="1" ht="18.75">
      <c r="A164" s="1782"/>
      <c r="B164" s="1782"/>
      <c r="C164" s="371" t="s">
        <v>1153</v>
      </c>
      <c r="D164" s="2464"/>
      <c r="E164" s="2206"/>
      <c r="F164" s="2385"/>
      <c r="G164" s="2429"/>
      <c r="H164" s="1502"/>
      <c r="I164" s="653" t="s">
        <v>1152</v>
      </c>
      <c r="J164" s="573"/>
      <c r="K164" s="1502"/>
      <c r="L164" s="216"/>
      <c r="M164" s="1863"/>
      <c r="N164" s="336"/>
      <c r="O164" s="1626"/>
      <c r="P164" s="1626"/>
      <c r="AH164" s="1633">
        <v>0</v>
      </c>
    </row>
    <row s="1637" customFormat="1" customHeight="1" ht="0.75">
      <c r="A165" s="1782"/>
      <c r="B165" s="1782"/>
      <c r="C165" s="371" t="s">
        <v>1162</v>
      </c>
      <c r="D165" s="2464"/>
      <c r="E165" s="2206"/>
      <c r="F165" s="2385"/>
      <c r="G165" s="402"/>
      <c r="H165" s="1502"/>
      <c r="I165" s="653"/>
      <c r="J165" s="573"/>
      <c r="K165" s="1502"/>
      <c r="L165" s="216"/>
      <c r="M165" s="343"/>
      <c r="N165" s="336"/>
      <c r="O165" s="1626"/>
      <c r="P165" s="1626"/>
      <c r="AH165" s="1633">
        <v>0</v>
      </c>
    </row>
    <row s="1637" customFormat="1" customHeight="1" ht="45" hidden="1">
      <c r="A166" s="1782" t="s">
        <v>178</v>
      </c>
      <c r="B166" s="1782" t="s">
        <v>179</v>
      </c>
      <c r="C166" s="371"/>
      <c r="D166" s="2464"/>
      <c r="E166" s="2206"/>
      <c r="F166" s="2385" t="str">
        <f>INDEX(PT_DIFFERENTIATION_VTAR,MATCH(A166,PT_DIFFERENTIATION_VTAR_ID,0))</f>
        <v>Тарифы на теплоноситель, поставляемый теплоснабжающими организациями потребителям, другим теплоснабжающим организациям</v>
      </c>
      <c r="G166" s="2429" t="str">
        <f>INDEX(PT_DIFFERENTIATION_NTAR,MATCH(B166,PT_DIFFERENTIATION_NTAR_ID,0))</f>
        <v/>
      </c>
      <c r="H166" s="1864"/>
      <c r="I166" s="1741"/>
      <c r="J166" s="1775"/>
      <c r="K166" s="1780"/>
      <c r="L166" s="1864" t="s">
        <v>315</v>
      </c>
      <c r="M166" s="343"/>
      <c r="N166" s="336"/>
      <c r="O166" s="1626"/>
      <c r="P166" s="1626"/>
      <c r="AH166" s="1633">
        <v>0</v>
      </c>
    </row>
    <row s="1637" customFormat="1" customHeight="1" ht="18.75" hidden="1">
      <c r="A167" s="1782"/>
      <c r="B167" s="1782"/>
      <c r="C167" s="371" t="s">
        <v>1153</v>
      </c>
      <c r="D167" s="2464"/>
      <c r="E167" s="2206"/>
      <c r="F167" s="2385"/>
      <c r="G167" s="2429"/>
      <c r="H167" s="1502"/>
      <c r="I167" s="653" t="s">
        <v>1152</v>
      </c>
      <c r="J167" s="573"/>
      <c r="K167" s="1502"/>
      <c r="L167" s="216"/>
      <c r="M167" s="343"/>
      <c r="N167" s="336"/>
      <c r="O167" s="1626"/>
      <c r="P167" s="1626"/>
      <c r="AH167" s="1633">
        <v>0</v>
      </c>
    </row>
    <row s="1637" customFormat="1" customHeight="1" ht="0.75" hidden="1">
      <c r="A168" s="1782"/>
      <c r="B168" s="1782"/>
      <c r="C168" s="371" t="s">
        <v>1162</v>
      </c>
      <c r="D168" s="2464"/>
      <c r="E168" s="2206"/>
      <c r="F168" s="2385"/>
      <c r="G168" s="402"/>
      <c r="H168" s="1502"/>
      <c r="I168" s="653"/>
      <c r="J168" s="573"/>
      <c r="K168" s="1502"/>
      <c r="L168" s="216"/>
      <c r="M168" s="343"/>
      <c r="N168" s="336"/>
      <c r="O168" s="1626"/>
      <c r="P168" s="1626"/>
      <c r="AH168" s="1633">
        <v>0</v>
      </c>
    </row>
    <row s="1637" customFormat="1" customHeight="1" ht="45" hidden="1">
      <c r="A169" s="1782" t="s">
        <v>184</v>
      </c>
      <c r="B169" s="1782" t="s">
        <v>185</v>
      </c>
      <c r="C169" s="371"/>
      <c r="D169" s="2464"/>
      <c r="E169" s="2206"/>
      <c r="F169" s="2385" t="str">
        <f>INDEX(PT_DIFFERENTIATION_VTAR,MATCH(A169,PT_DIFFERENTIATION_VTAR_ID,0))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69" s="2429" t="str">
        <f>INDEX(PT_DIFFERENTIATION_NTAR,MATCH(B169,PT_DIFFERENTIATION_NTAR_ID,0))</f>
        <v/>
      </c>
      <c r="H169" s="1864"/>
      <c r="I169" s="1741"/>
      <c r="J169" s="1775"/>
      <c r="K169" s="1780"/>
      <c r="L169" s="1864" t="s">
        <v>315</v>
      </c>
      <c r="M169" s="343"/>
      <c r="N169" s="336"/>
      <c r="O169" s="1626"/>
      <c r="P169" s="1626"/>
      <c r="AH169" s="1633">
        <v>0</v>
      </c>
    </row>
    <row s="1637" customFormat="1" customHeight="1" ht="18.75" hidden="1">
      <c r="A170" s="1782"/>
      <c r="B170" s="1782"/>
      <c r="C170" s="371" t="s">
        <v>1153</v>
      </c>
      <c r="D170" s="2464"/>
      <c r="E170" s="2206"/>
      <c r="F170" s="2385"/>
      <c r="G170" s="2429"/>
      <c r="H170" s="1502"/>
      <c r="I170" s="653" t="s">
        <v>1152</v>
      </c>
      <c r="J170" s="573"/>
      <c r="K170" s="1502"/>
      <c r="L170" s="216"/>
      <c r="M170" s="343"/>
      <c r="N170" s="336"/>
      <c r="O170" s="1626"/>
      <c r="P170" s="1626"/>
      <c r="AH170" s="1633">
        <v>0</v>
      </c>
    </row>
    <row s="1637" customFormat="1" customHeight="1" ht="0.75" hidden="1">
      <c r="A171" s="1782"/>
      <c r="B171" s="1782"/>
      <c r="C171" s="371" t="s">
        <v>1162</v>
      </c>
      <c r="D171" s="2464"/>
      <c r="E171" s="2206"/>
      <c r="F171" s="2385"/>
      <c r="G171" s="402"/>
      <c r="H171" s="1502"/>
      <c r="I171" s="653"/>
      <c r="J171" s="573"/>
      <c r="K171" s="1502"/>
      <c r="L171" s="216"/>
      <c r="M171" s="343"/>
      <c r="N171" s="336"/>
      <c r="O171" s="1626"/>
      <c r="P171" s="1626"/>
      <c r="AH171" s="1633">
        <v>0</v>
      </c>
    </row>
    <row s="1637" customFormat="1" customHeight="1" ht="18.75" hidden="1">
      <c r="A172" s="1782" t="s">
        <v>190</v>
      </c>
      <c r="B172" s="1782" t="s">
        <v>191</v>
      </c>
      <c r="C172" s="371"/>
      <c r="D172" s="2464"/>
      <c r="E172" s="2206"/>
      <c r="F172" s="2385" t="str">
        <f>INDEX(PT_DIFFERENTIATION_VTAR,MATCH(A172,PT_DIFFERENTIATION_VTAR_ID,0))</f>
        <v>Тарифы на услуги по передаче тепловой энергии</v>
      </c>
      <c r="G172" s="2429" t="str">
        <f>INDEX(PT_DIFFERENTIATION_NTAR,MATCH(B172,PT_DIFFERENTIATION_NTAR_ID,0))</f>
        <v/>
      </c>
      <c r="H172" s="1864"/>
      <c r="I172" s="1741"/>
      <c r="J172" s="1775"/>
      <c r="K172" s="1780"/>
      <c r="L172" s="1864" t="s">
        <v>315</v>
      </c>
      <c r="M172" s="343"/>
      <c r="N172" s="336"/>
      <c r="O172" s="1626"/>
      <c r="P172" s="1626"/>
      <c r="AH172" s="1633">
        <v>0</v>
      </c>
    </row>
    <row s="1637" customFormat="1" customHeight="1" ht="18.75" hidden="1">
      <c r="A173" s="1782"/>
      <c r="B173" s="1782"/>
      <c r="C173" s="371" t="s">
        <v>1153</v>
      </c>
      <c r="D173" s="2464"/>
      <c r="E173" s="2206"/>
      <c r="F173" s="2385"/>
      <c r="G173" s="2429"/>
      <c r="H173" s="1502"/>
      <c r="I173" s="653" t="s">
        <v>1152</v>
      </c>
      <c r="J173" s="573"/>
      <c r="K173" s="1502"/>
      <c r="L173" s="216"/>
      <c r="M173" s="343"/>
      <c r="N173" s="336"/>
      <c r="O173" s="1626"/>
      <c r="P173" s="1626"/>
      <c r="AH173" s="1633">
        <v>0</v>
      </c>
    </row>
    <row s="1637" customFormat="1" customHeight="1" ht="0.75" hidden="1">
      <c r="A174" s="1782"/>
      <c r="B174" s="1782"/>
      <c r="C174" s="371" t="s">
        <v>1162</v>
      </c>
      <c r="D174" s="2464"/>
      <c r="E174" s="2206"/>
      <c r="F174" s="2385"/>
      <c r="G174" s="402"/>
      <c r="H174" s="1502"/>
      <c r="I174" s="653"/>
      <c r="J174" s="573"/>
      <c r="K174" s="1502"/>
      <c r="L174" s="216"/>
      <c r="M174" s="343"/>
      <c r="N174" s="336"/>
      <c r="O174" s="1626"/>
      <c r="P174" s="1626"/>
      <c r="AH174" s="1633">
        <v>0</v>
      </c>
    </row>
    <row s="1637" customFormat="1" customHeight="1" ht="18.75" hidden="1">
      <c r="A175" s="1782" t="s">
        <v>196</v>
      </c>
      <c r="B175" s="1782" t="s">
        <v>197</v>
      </c>
      <c r="C175" s="371"/>
      <c r="D175" s="2464"/>
      <c r="E175" s="2206"/>
      <c r="F175" s="2385" t="str">
        <f>INDEX(PT_DIFFERENTIATION_VTAR,MATCH(A175,PT_DIFFERENTIATION_VTAR_ID,0))</f>
        <v>Тарифы на услуги по передаче теплоносителя</v>
      </c>
      <c r="G175" s="2429" t="str">
        <f>INDEX(PT_DIFFERENTIATION_NTAR,MATCH(B175,PT_DIFFERENTIATION_NTAR_ID,0))</f>
        <v/>
      </c>
      <c r="H175" s="1864"/>
      <c r="I175" s="1741"/>
      <c r="J175" s="1775"/>
      <c r="K175" s="1780"/>
      <c r="L175" s="1864" t="s">
        <v>315</v>
      </c>
      <c r="M175" s="343"/>
      <c r="N175" s="336"/>
      <c r="O175" s="1626"/>
      <c r="P175" s="1626"/>
      <c r="AH175" s="1633">
        <v>0</v>
      </c>
    </row>
    <row s="1637" customFormat="1" customHeight="1" ht="18.75" hidden="1">
      <c r="A176" s="1782"/>
      <c r="B176" s="1782"/>
      <c r="C176" s="371" t="s">
        <v>1153</v>
      </c>
      <c r="D176" s="2464"/>
      <c r="E176" s="2206"/>
      <c r="F176" s="2385"/>
      <c r="G176" s="2429"/>
      <c r="H176" s="1502"/>
      <c r="I176" s="653" t="s">
        <v>1152</v>
      </c>
      <c r="J176" s="573"/>
      <c r="K176" s="1502"/>
      <c r="L176" s="216"/>
      <c r="M176" s="343"/>
      <c r="N176" s="336"/>
      <c r="O176" s="1626"/>
      <c r="P176" s="1626"/>
      <c r="AH176" s="1633">
        <v>0</v>
      </c>
    </row>
    <row s="1637" customFormat="1" customHeight="1" ht="0.75" hidden="1">
      <c r="A177" s="1782"/>
      <c r="B177" s="1782"/>
      <c r="C177" s="371" t="s">
        <v>1162</v>
      </c>
      <c r="D177" s="2464"/>
      <c r="E177" s="2206"/>
      <c r="F177" s="2385"/>
      <c r="G177" s="402"/>
      <c r="H177" s="1502"/>
      <c r="I177" s="653"/>
      <c r="J177" s="573"/>
      <c r="K177" s="1502"/>
      <c r="L177" s="216"/>
      <c r="M177" s="343"/>
      <c r="N177" s="336"/>
      <c r="O177" s="1626"/>
      <c r="P177" s="1626"/>
      <c r="AH177" s="1633">
        <v>0</v>
      </c>
    </row>
    <row s="1637" customFormat="1" customHeight="1" ht="18.75" hidden="1">
      <c r="A178" s="1782" t="s">
        <v>202</v>
      </c>
      <c r="B178" s="1782" t="s">
        <v>203</v>
      </c>
      <c r="C178" s="371"/>
      <c r="D178" s="2464"/>
      <c r="E178" s="2206"/>
      <c r="F178" s="2385" t="str">
        <f>INDEX(PT_DIFFERENTIATION_VTAR,MATCH(A178,PT_DIFFERENTIATION_VTAR_ID,0))</f>
        <v>Плата за услуги по поддержанию резервной тепловой мощности при отсутствии потребления тепловой энергии</v>
      </c>
      <c r="G178" s="2429" t="str">
        <f>INDEX(PT_DIFFERENTIATION_NTAR,MATCH(B178,PT_DIFFERENTIATION_NTAR_ID,0))</f>
        <v/>
      </c>
      <c r="H178" s="1864"/>
      <c r="I178" s="1741"/>
      <c r="J178" s="1775"/>
      <c r="K178" s="1780"/>
      <c r="L178" s="1864" t="s">
        <v>315</v>
      </c>
      <c r="M178" s="343"/>
      <c r="N178" s="336"/>
      <c r="O178" s="1626"/>
      <c r="P178" s="1626"/>
      <c r="AH178" s="1633">
        <v>0</v>
      </c>
    </row>
    <row s="1637" customFormat="1" customHeight="1" ht="18.75" hidden="1">
      <c r="A179" s="1782"/>
      <c r="B179" s="1782"/>
      <c r="C179" s="371" t="s">
        <v>1153</v>
      </c>
      <c r="D179" s="2464"/>
      <c r="E179" s="2206"/>
      <c r="F179" s="2385"/>
      <c r="G179" s="2429"/>
      <c r="H179" s="1502"/>
      <c r="I179" s="653" t="s">
        <v>1152</v>
      </c>
      <c r="J179" s="573"/>
      <c r="K179" s="1502"/>
      <c r="L179" s="216"/>
      <c r="M179" s="343"/>
      <c r="N179" s="336"/>
      <c r="O179" s="1626"/>
      <c r="P179" s="1626"/>
      <c r="AH179" s="1633">
        <v>0</v>
      </c>
    </row>
    <row s="1637" customFormat="1" customHeight="1" ht="0.75" hidden="1">
      <c r="A180" s="1782"/>
      <c r="B180" s="1782"/>
      <c r="C180" s="371" t="s">
        <v>1162</v>
      </c>
      <c r="D180" s="2464"/>
      <c r="E180" s="2206"/>
      <c r="F180" s="2385"/>
      <c r="G180" s="402"/>
      <c r="H180" s="1502"/>
      <c r="I180" s="653"/>
      <c r="J180" s="573"/>
      <c r="K180" s="1502"/>
      <c r="L180" s="216"/>
      <c r="M180" s="343"/>
      <c r="N180" s="336"/>
      <c r="O180" s="1626"/>
      <c r="P180" s="1626"/>
      <c r="AH180" s="1633">
        <v>0</v>
      </c>
    </row>
    <row s="1637" customFormat="1" customHeight="1" ht="18.75" hidden="1">
      <c r="A181" s="1782" t="s">
        <v>208</v>
      </c>
      <c r="B181" s="1782" t="s">
        <v>209</v>
      </c>
      <c r="C181" s="371"/>
      <c r="D181" s="2464"/>
      <c r="E181" s="2206"/>
      <c r="F181" s="2385" t="str">
        <f>INDEX(PT_DIFFERENTIATION_VTAR,MATCH(A181,PT_DIFFERENTIATION_VTAR_ID,0))</f>
        <v>Плата за подключение (технологическое присоединение) к системе теплоснабжения</v>
      </c>
      <c r="G181" s="2429" t="str">
        <f>INDEX(PT_DIFFERENTIATION_NTAR,MATCH(B181,PT_DIFFERENTIATION_NTAR_ID,0))</f>
        <v/>
      </c>
      <c r="H181" s="1864"/>
      <c r="I181" s="1741"/>
      <c r="J181" s="1775"/>
      <c r="K181" s="1780"/>
      <c r="L181" s="1864" t="s">
        <v>315</v>
      </c>
      <c r="M181" s="343"/>
      <c r="N181" s="336"/>
      <c r="O181" s="1626"/>
      <c r="P181" s="1626"/>
      <c r="AH181" s="1633">
        <v>0</v>
      </c>
    </row>
    <row s="1637" customFormat="1" customHeight="1" ht="18.75" hidden="1">
      <c r="A182" s="1782"/>
      <c r="B182" s="1782"/>
      <c r="C182" s="371" t="s">
        <v>1153</v>
      </c>
      <c r="D182" s="2464"/>
      <c r="E182" s="2206"/>
      <c r="F182" s="2385"/>
      <c r="G182" s="2429"/>
      <c r="H182" s="1502"/>
      <c r="I182" s="653" t="s">
        <v>1152</v>
      </c>
      <c r="J182" s="573"/>
      <c r="K182" s="1502"/>
      <c r="L182" s="216"/>
      <c r="M182" s="343"/>
      <c r="N182" s="336"/>
      <c r="O182" s="1626"/>
      <c r="P182" s="1626"/>
      <c r="AH182" s="1633">
        <v>0</v>
      </c>
    </row>
    <row s="1637" customFormat="1" customHeight="1" ht="0.75" hidden="1">
      <c r="A183" s="1782"/>
      <c r="B183" s="1782"/>
      <c r="C183" s="371" t="s">
        <v>1162</v>
      </c>
      <c r="D183" s="2464"/>
      <c r="E183" s="2206"/>
      <c r="F183" s="2385"/>
      <c r="G183" s="402"/>
      <c r="H183" s="1502"/>
      <c r="I183" s="653"/>
      <c r="J183" s="573"/>
      <c r="K183" s="1502"/>
      <c r="L183" s="216"/>
      <c r="M183" s="343"/>
      <c r="N183" s="336"/>
      <c r="O183" s="1626"/>
      <c r="P183" s="1626"/>
      <c r="AH183" s="1633">
        <v>0</v>
      </c>
    </row>
    <row s="1637" customFormat="1" customHeight="1" ht="18.75" hidden="1">
      <c r="A184" s="1782" t="s">
        <v>214</v>
      </c>
      <c r="B184" s="1782" t="s">
        <v>215</v>
      </c>
      <c r="C184" s="371"/>
      <c r="D184" s="2464"/>
      <c r="E184" s="2206"/>
      <c r="F184" s="2385" t="str">
        <f>INDEX(PT_DIFFERENTIATION_VTAR,MATCH(A184,PT_DIFFERENTIATION_VTAR_ID,0))</f>
        <v>Плата за подключение (технологическое присоединение) к системе теплоснабжения (индивидуальная)</v>
      </c>
      <c r="G184" s="2429" t="str">
        <f>INDEX(PT_DIFFERENTIATION_NTAR,MATCH(B184,PT_DIFFERENTIATION_NTAR_ID,0))</f>
        <v/>
      </c>
      <c r="H184" s="1991"/>
      <c r="I184" s="1741"/>
      <c r="J184" s="1775"/>
      <c r="K184" s="1780"/>
      <c r="L184" s="1991" t="s">
        <v>315</v>
      </c>
      <c r="M184" s="343"/>
      <c r="N184" s="336"/>
      <c r="O184" s="1626"/>
      <c r="P184" s="1626"/>
      <c r="AH184" s="1633">
        <v>0</v>
      </c>
    </row>
    <row s="1637" customFormat="1" customHeight="1" ht="18.75" hidden="1">
      <c r="A185" s="1782"/>
      <c r="B185" s="1782"/>
      <c r="C185" s="371" t="s">
        <v>1153</v>
      </c>
      <c r="D185" s="2464"/>
      <c r="E185" s="2206"/>
      <c r="F185" s="2385"/>
      <c r="G185" s="2429"/>
      <c r="H185" s="1502"/>
      <c r="I185" s="653" t="s">
        <v>1152</v>
      </c>
      <c r="J185" s="573"/>
      <c r="K185" s="1502"/>
      <c r="L185" s="216"/>
      <c r="M185" s="343"/>
      <c r="N185" s="336"/>
      <c r="O185" s="1626"/>
      <c r="P185" s="1626"/>
      <c r="AH185" s="1633">
        <v>0</v>
      </c>
    </row>
    <row s="1637" customFormat="1" customHeight="1" ht="0.75" hidden="1">
      <c r="A186" s="1782"/>
      <c r="B186" s="1782"/>
      <c r="C186" s="371" t="s">
        <v>1162</v>
      </c>
      <c r="D186" s="2464"/>
      <c r="E186" s="2206"/>
      <c r="F186" s="2385"/>
      <c r="G186" s="402"/>
      <c r="H186" s="1502"/>
      <c r="I186" s="653"/>
      <c r="J186" s="573"/>
      <c r="K186" s="1502"/>
      <c r="L186" s="216"/>
      <c r="M186" s="343"/>
      <c r="N186" s="336"/>
      <c r="O186" s="1626"/>
      <c r="P186" s="1626"/>
      <c r="AH186" s="1633">
        <v>0</v>
      </c>
    </row>
    <row s="1637" customFormat="1" customHeight="1" ht="18.75" hidden="1">
      <c r="A187" s="1782" t="s">
        <v>234</v>
      </c>
      <c r="B187" s="1782" t="s">
        <v>235</v>
      </c>
      <c r="C187" s="371"/>
      <c r="D187" s="2464"/>
      <c r="E187" s="2206"/>
      <c r="F187" s="2385" t="str">
        <f>INDEX(PT_DIFFERENTIATION_VTAR,MATCH(A187,PT_DIFFERENTIATION_VTAR_ID,0))</f>
        <v>Тариф на питьевую воду (питьевое водоснабжение)</v>
      </c>
      <c r="G187" s="2429" t="str">
        <f>INDEX(PT_DIFFERENTIATION_NTAR,MATCH(B187,PT_DIFFERENTIATION_NTAR_ID,0))</f>
        <v/>
      </c>
      <c r="H187" s="1864"/>
      <c r="I187" s="1741"/>
      <c r="J187" s="1775"/>
      <c r="K187" s="1780"/>
      <c r="L187" s="1864" t="s">
        <v>315</v>
      </c>
      <c r="M187" s="343"/>
      <c r="N187" s="336"/>
      <c r="O187" s="1626"/>
      <c r="P187" s="1626"/>
      <c r="AH187" s="1633">
        <v>0</v>
      </c>
    </row>
    <row s="1637" customFormat="1" customHeight="1" ht="18.75" hidden="1">
      <c r="A188" s="1782"/>
      <c r="B188" s="1782"/>
      <c r="C188" s="371" t="s">
        <v>1153</v>
      </c>
      <c r="D188" s="2464"/>
      <c r="E188" s="2206"/>
      <c r="F188" s="2385"/>
      <c r="G188" s="2429"/>
      <c r="H188" s="1502"/>
      <c r="I188" s="653" t="s">
        <v>1152</v>
      </c>
      <c r="J188" s="573"/>
      <c r="K188" s="1502"/>
      <c r="L188" s="216"/>
      <c r="M188" s="343"/>
      <c r="N188" s="336"/>
      <c r="O188" s="1626"/>
      <c r="P188" s="1626"/>
      <c r="AH188" s="1633">
        <v>0</v>
      </c>
    </row>
    <row s="1637" customFormat="1" customHeight="1" ht="0.75" hidden="1">
      <c r="A189" s="1782"/>
      <c r="B189" s="1782"/>
      <c r="C189" s="371" t="s">
        <v>1162</v>
      </c>
      <c r="D189" s="2464"/>
      <c r="E189" s="2206"/>
      <c r="F189" s="2385"/>
      <c r="G189" s="402"/>
      <c r="H189" s="1502"/>
      <c r="I189" s="653"/>
      <c r="J189" s="573"/>
      <c r="K189" s="1502"/>
      <c r="L189" s="216"/>
      <c r="M189" s="343"/>
      <c r="N189" s="336"/>
      <c r="O189" s="1626"/>
      <c r="P189" s="1626"/>
      <c r="AH189" s="1633">
        <v>0</v>
      </c>
    </row>
    <row s="1637" customFormat="1" customHeight="1" ht="18.75" hidden="1">
      <c r="A190" s="1782" t="s">
        <v>239</v>
      </c>
      <c r="B190" s="1782" t="s">
        <v>240</v>
      </c>
      <c r="C190" s="371"/>
      <c r="D190" s="2464"/>
      <c r="E190" s="2206"/>
      <c r="F190" s="2385" t="str">
        <f>INDEX(PT_DIFFERENTIATION_VTAR,MATCH(A190,PT_DIFFERENTIATION_VTAR_ID,0))</f>
        <v>Тариф на техническую воду</v>
      </c>
      <c r="G190" s="2429" t="str">
        <f>INDEX(PT_DIFFERENTIATION_NTAR,MATCH(B190,PT_DIFFERENTIATION_NTAR_ID,0))</f>
        <v/>
      </c>
      <c r="H190" s="1864"/>
      <c r="I190" s="1741"/>
      <c r="J190" s="1775"/>
      <c r="K190" s="1780"/>
      <c r="L190" s="1864" t="s">
        <v>315</v>
      </c>
      <c r="M190" s="343"/>
      <c r="N190" s="336"/>
      <c r="O190" s="1626"/>
      <c r="P190" s="1626"/>
      <c r="AH190" s="1633">
        <v>0</v>
      </c>
    </row>
    <row s="1637" customFormat="1" customHeight="1" ht="18.75" hidden="1">
      <c r="A191" s="1782"/>
      <c r="B191" s="1782"/>
      <c r="C191" s="371" t="s">
        <v>1153</v>
      </c>
      <c r="D191" s="2464"/>
      <c r="E191" s="2206"/>
      <c r="F191" s="2385"/>
      <c r="G191" s="2429"/>
      <c r="H191" s="1502"/>
      <c r="I191" s="653" t="s">
        <v>1152</v>
      </c>
      <c r="J191" s="573"/>
      <c r="K191" s="1502"/>
      <c r="L191" s="216"/>
      <c r="M191" s="343"/>
      <c r="N191" s="336"/>
      <c r="O191" s="1626"/>
      <c r="P191" s="1626"/>
      <c r="AH191" s="1633">
        <v>0</v>
      </c>
    </row>
    <row s="1637" customFormat="1" customHeight="1" ht="0.75" hidden="1">
      <c r="A192" s="1782"/>
      <c r="B192" s="1782"/>
      <c r="C192" s="371" t="s">
        <v>1162</v>
      </c>
      <c r="D192" s="2464"/>
      <c r="E192" s="2206"/>
      <c r="F192" s="2385"/>
      <c r="G192" s="402"/>
      <c r="H192" s="1502"/>
      <c r="I192" s="653"/>
      <c r="J192" s="573"/>
      <c r="K192" s="1502"/>
      <c r="L192" s="216"/>
      <c r="M192" s="343"/>
      <c r="N192" s="336"/>
      <c r="O192" s="1626"/>
      <c r="P192" s="1626"/>
      <c r="AH192" s="1633">
        <v>0</v>
      </c>
    </row>
    <row s="1637" customFormat="1" customHeight="1" ht="18.75" hidden="1">
      <c r="A193" s="1782" t="s">
        <v>244</v>
      </c>
      <c r="B193" s="1782" t="s">
        <v>245</v>
      </c>
      <c r="C193" s="371"/>
      <c r="D193" s="2464"/>
      <c r="E193" s="2206"/>
      <c r="F193" s="2385" t="str">
        <f>INDEX(PT_DIFFERENTIATION_VTAR,MATCH(A193,PT_DIFFERENTIATION_VTAR_ID,0))</f>
        <v>Тариф на транспортировку воды</v>
      </c>
      <c r="G193" s="2429" t="str">
        <f>INDEX(PT_DIFFERENTIATION_NTAR,MATCH(B193,PT_DIFFERENTIATION_NTAR_ID,0))</f>
        <v/>
      </c>
      <c r="H193" s="1864"/>
      <c r="I193" s="1741"/>
      <c r="J193" s="1775"/>
      <c r="K193" s="1780"/>
      <c r="L193" s="1864" t="s">
        <v>315</v>
      </c>
      <c r="M193" s="343"/>
      <c r="N193" s="336"/>
      <c r="O193" s="1626"/>
      <c r="P193" s="1626"/>
      <c r="AH193" s="1633">
        <v>0</v>
      </c>
    </row>
    <row s="1637" customFormat="1" customHeight="1" ht="18.75" hidden="1">
      <c r="A194" s="1782"/>
      <c r="B194" s="1782"/>
      <c r="C194" s="371" t="s">
        <v>1153</v>
      </c>
      <c r="D194" s="2464"/>
      <c r="E194" s="2206"/>
      <c r="F194" s="2385"/>
      <c r="G194" s="2429"/>
      <c r="H194" s="1502"/>
      <c r="I194" s="653" t="s">
        <v>1152</v>
      </c>
      <c r="J194" s="573"/>
      <c r="K194" s="1502"/>
      <c r="L194" s="216"/>
      <c r="M194" s="343"/>
      <c r="N194" s="336"/>
      <c r="O194" s="1626"/>
      <c r="P194" s="1626"/>
      <c r="AH194" s="1633">
        <v>0</v>
      </c>
    </row>
    <row s="1637" customFormat="1" customHeight="1" ht="0.75" hidden="1">
      <c r="A195" s="1782"/>
      <c r="B195" s="1782"/>
      <c r="C195" s="371" t="s">
        <v>1162</v>
      </c>
      <c r="D195" s="2464"/>
      <c r="E195" s="2206"/>
      <c r="F195" s="2385"/>
      <c r="G195" s="402"/>
      <c r="H195" s="1502"/>
      <c r="I195" s="653"/>
      <c r="J195" s="573"/>
      <c r="K195" s="1502"/>
      <c r="L195" s="216"/>
      <c r="M195" s="343"/>
      <c r="N195" s="336"/>
      <c r="O195" s="1626"/>
      <c r="P195" s="1626"/>
      <c r="AH195" s="1633">
        <v>0</v>
      </c>
    </row>
    <row s="1637" customFormat="1" customHeight="1" ht="18.75" hidden="1">
      <c r="A196" s="1782" t="s">
        <v>249</v>
      </c>
      <c r="B196" s="1782" t="s">
        <v>250</v>
      </c>
      <c r="C196" s="371"/>
      <c r="D196" s="2464"/>
      <c r="E196" s="2206"/>
      <c r="F196" s="2385" t="str">
        <f>INDEX(PT_DIFFERENTIATION_VTAR,MATCH(A196,PT_DIFFERENTIATION_VTAR_ID,0))</f>
        <v>Тариф на подвоз воды</v>
      </c>
      <c r="G196" s="2429" t="str">
        <f>INDEX(PT_DIFFERENTIATION_NTAR,MATCH(B196,PT_DIFFERENTIATION_NTAR_ID,0))</f>
        <v/>
      </c>
      <c r="H196" s="1864"/>
      <c r="I196" s="1741"/>
      <c r="J196" s="1775"/>
      <c r="K196" s="1780"/>
      <c r="L196" s="1864" t="s">
        <v>315</v>
      </c>
      <c r="M196" s="343"/>
      <c r="N196" s="336"/>
      <c r="O196" s="1626"/>
      <c r="P196" s="1626"/>
      <c r="AH196" s="1633">
        <v>0</v>
      </c>
    </row>
    <row s="1637" customFormat="1" customHeight="1" ht="18.75" hidden="1">
      <c r="A197" s="1782"/>
      <c r="B197" s="1782"/>
      <c r="C197" s="371" t="s">
        <v>1153</v>
      </c>
      <c r="D197" s="2464"/>
      <c r="E197" s="2206"/>
      <c r="F197" s="2385"/>
      <c r="G197" s="2429"/>
      <c r="H197" s="1502"/>
      <c r="I197" s="653" t="s">
        <v>1152</v>
      </c>
      <c r="J197" s="573"/>
      <c r="K197" s="1502"/>
      <c r="L197" s="216"/>
      <c r="M197" s="343"/>
      <c r="N197" s="336"/>
      <c r="O197" s="1626"/>
      <c r="P197" s="1626"/>
      <c r="AH197" s="1633">
        <v>0</v>
      </c>
    </row>
    <row s="1637" customFormat="1" customHeight="1" ht="0.75" hidden="1">
      <c r="A198" s="1782"/>
      <c r="B198" s="1782"/>
      <c r="C198" s="371" t="s">
        <v>1162</v>
      </c>
      <c r="D198" s="2464"/>
      <c r="E198" s="2206"/>
      <c r="F198" s="2385"/>
      <c r="G198" s="402"/>
      <c r="H198" s="1502"/>
      <c r="I198" s="653"/>
      <c r="J198" s="573"/>
      <c r="K198" s="1502"/>
      <c r="L198" s="216"/>
      <c r="M198" s="343"/>
      <c r="N198" s="336"/>
      <c r="O198" s="1626"/>
      <c r="P198" s="1626"/>
      <c r="AH198" s="1633">
        <v>0</v>
      </c>
    </row>
    <row s="1637" customFormat="1" customHeight="1" ht="18.75" hidden="1">
      <c r="A199" s="1782" t="s">
        <v>254</v>
      </c>
      <c r="B199" s="1782" t="s">
        <v>255</v>
      </c>
      <c r="C199" s="371"/>
      <c r="D199" s="2464"/>
      <c r="E199" s="2206"/>
      <c r="F199" s="2385" t="str">
        <f>INDEX(PT_DIFFERENTIATION_VTAR,MATCH(A199,PT_DIFFERENTIATION_VTAR_ID,0))</f>
        <v>Тариф на подключение (технологическое присоединение) к централизованной системе холодного водоснабжения</v>
      </c>
      <c r="G199" s="2429" t="str">
        <f>INDEX(PT_DIFFERENTIATION_NTAR,MATCH(B199,PT_DIFFERENTIATION_NTAR_ID,0))</f>
        <v/>
      </c>
      <c r="H199" s="1864"/>
      <c r="I199" s="1741"/>
      <c r="J199" s="1775"/>
      <c r="K199" s="1780"/>
      <c r="L199" s="1864" t="s">
        <v>315</v>
      </c>
      <c r="M199" s="343"/>
      <c r="N199" s="336"/>
      <c r="O199" s="1626"/>
      <c r="P199" s="1626"/>
      <c r="AH199" s="1633">
        <v>0</v>
      </c>
    </row>
    <row s="1637" customFormat="1" customHeight="1" ht="18.75" hidden="1">
      <c r="A200" s="1782"/>
      <c r="B200" s="1782"/>
      <c r="C200" s="371" t="s">
        <v>1153</v>
      </c>
      <c r="D200" s="2464"/>
      <c r="E200" s="2206"/>
      <c r="F200" s="2385"/>
      <c r="G200" s="2429"/>
      <c r="H200" s="1502"/>
      <c r="I200" s="653" t="s">
        <v>1152</v>
      </c>
      <c r="J200" s="573"/>
      <c r="K200" s="1502"/>
      <c r="L200" s="216"/>
      <c r="M200" s="343"/>
      <c r="N200" s="336"/>
      <c r="O200" s="1626"/>
      <c r="P200" s="1626"/>
      <c r="AH200" s="1633">
        <v>0</v>
      </c>
    </row>
    <row s="1637" customFormat="1" customHeight="1" ht="0.75" hidden="1">
      <c r="A201" s="1782"/>
      <c r="B201" s="1782"/>
      <c r="C201" s="371" t="s">
        <v>1162</v>
      </c>
      <c r="D201" s="2464"/>
      <c r="E201" s="2206"/>
      <c r="F201" s="2385"/>
      <c r="G201" s="402"/>
      <c r="H201" s="1502"/>
      <c r="I201" s="653"/>
      <c r="J201" s="573"/>
      <c r="K201" s="1502"/>
      <c r="L201" s="216"/>
      <c r="M201" s="343"/>
      <c r="N201" s="336"/>
      <c r="O201" s="1626"/>
      <c r="P201" s="1626"/>
      <c r="AH201" s="1633">
        <v>0</v>
      </c>
    </row>
    <row s="1637" customFormat="1" customHeight="1" ht="18.75" hidden="1">
      <c r="A202" s="1782" t="s">
        <v>259</v>
      </c>
      <c r="B202" s="1782" t="s">
        <v>260</v>
      </c>
      <c r="C202" s="371"/>
      <c r="D202" s="2464"/>
      <c r="E202" s="2206"/>
      <c r="F202" s="2385" t="str">
        <f>INDEX(PT_DIFFERENTIATION_VTAR,MATCH(A202,PT_DIFFERENTIATION_VTAR_ID,0))</f>
        <v>Тариф на горячую воду (горячее водоснабжение)</v>
      </c>
      <c r="G202" s="2429" t="str">
        <f>INDEX(PT_DIFFERENTIATION_NTAR,MATCH(B202,PT_DIFFERENTIATION_NTAR_ID,0))</f>
        <v/>
      </c>
      <c r="H202" s="1864"/>
      <c r="I202" s="1741"/>
      <c r="J202" s="1775"/>
      <c r="K202" s="1780"/>
      <c r="L202" s="1864" t="s">
        <v>315</v>
      </c>
      <c r="M202" s="343"/>
      <c r="N202" s="336"/>
      <c r="O202" s="1626"/>
      <c r="P202" s="1626"/>
      <c r="AH202" s="1633">
        <v>0</v>
      </c>
    </row>
    <row s="1637" customFormat="1" customHeight="1" ht="18.75" hidden="1">
      <c r="A203" s="1782"/>
      <c r="B203" s="1782"/>
      <c r="C203" s="371" t="s">
        <v>1153</v>
      </c>
      <c r="D203" s="2464"/>
      <c r="E203" s="2206"/>
      <c r="F203" s="2385"/>
      <c r="G203" s="2429"/>
      <c r="H203" s="1502"/>
      <c r="I203" s="653" t="s">
        <v>1152</v>
      </c>
      <c r="J203" s="573"/>
      <c r="K203" s="1502"/>
      <c r="L203" s="216"/>
      <c r="M203" s="343"/>
      <c r="N203" s="336"/>
      <c r="O203" s="1626"/>
      <c r="P203" s="1626"/>
      <c r="AH203" s="1633">
        <v>0</v>
      </c>
    </row>
    <row s="1637" customFormat="1" customHeight="1" ht="0.75" hidden="1">
      <c r="A204" s="1782"/>
      <c r="B204" s="1782"/>
      <c r="C204" s="371" t="s">
        <v>1162</v>
      </c>
      <c r="D204" s="2464"/>
      <c r="E204" s="2206"/>
      <c r="F204" s="2385"/>
      <c r="G204" s="402"/>
      <c r="H204" s="1502"/>
      <c r="I204" s="653"/>
      <c r="J204" s="573"/>
      <c r="K204" s="1502"/>
      <c r="L204" s="216"/>
      <c r="M204" s="343"/>
      <c r="N204" s="336"/>
      <c r="O204" s="1626"/>
      <c r="P204" s="1626"/>
      <c r="AH204" s="1633">
        <v>0</v>
      </c>
    </row>
    <row s="1637" customFormat="1" customHeight="1" ht="18.75" hidden="1">
      <c r="A205" s="1782" t="s">
        <v>264</v>
      </c>
      <c r="B205" s="1782" t="s">
        <v>265</v>
      </c>
      <c r="C205" s="371"/>
      <c r="D205" s="2464"/>
      <c r="E205" s="2206"/>
      <c r="F205" s="2385" t="str">
        <f>INDEX(PT_DIFFERENTIATION_VTAR,MATCH(A205,PT_DIFFERENTIATION_VTAR_ID,0))</f>
        <v>Тариф на транспортировку горячей воды</v>
      </c>
      <c r="G205" s="2429" t="str">
        <f>INDEX(PT_DIFFERENTIATION_NTAR,MATCH(B205,PT_DIFFERENTIATION_NTAR_ID,0))</f>
        <v/>
      </c>
      <c r="H205" s="1864"/>
      <c r="I205" s="1741"/>
      <c r="J205" s="1775"/>
      <c r="K205" s="1780"/>
      <c r="L205" s="1864" t="s">
        <v>315</v>
      </c>
      <c r="M205" s="343"/>
      <c r="N205" s="336"/>
      <c r="O205" s="1626"/>
      <c r="P205" s="1626"/>
      <c r="AH205" s="1633">
        <v>0</v>
      </c>
    </row>
    <row s="1637" customFormat="1" customHeight="1" ht="18.75" hidden="1">
      <c r="A206" s="1782"/>
      <c r="B206" s="1782"/>
      <c r="C206" s="371" t="s">
        <v>1153</v>
      </c>
      <c r="D206" s="2464"/>
      <c r="E206" s="2206"/>
      <c r="F206" s="2385"/>
      <c r="G206" s="2429"/>
      <c r="H206" s="1502"/>
      <c r="I206" s="653" t="s">
        <v>1152</v>
      </c>
      <c r="J206" s="573"/>
      <c r="K206" s="1502"/>
      <c r="L206" s="216"/>
      <c r="M206" s="343"/>
      <c r="N206" s="336"/>
      <c r="O206" s="1626"/>
      <c r="P206" s="1626"/>
      <c r="AH206" s="1633">
        <v>0</v>
      </c>
    </row>
    <row s="1637" customFormat="1" customHeight="1" ht="0.75" hidden="1">
      <c r="A207" s="1782"/>
      <c r="B207" s="1782"/>
      <c r="C207" s="371" t="s">
        <v>1162</v>
      </c>
      <c r="D207" s="2464"/>
      <c r="E207" s="2206"/>
      <c r="F207" s="2385"/>
      <c r="G207" s="402"/>
      <c r="H207" s="1502"/>
      <c r="I207" s="653"/>
      <c r="J207" s="573"/>
      <c r="K207" s="1502"/>
      <c r="L207" s="216"/>
      <c r="M207" s="343"/>
      <c r="N207" s="336"/>
      <c r="O207" s="1626"/>
      <c r="P207" s="1626"/>
      <c r="AH207" s="1633">
        <v>0</v>
      </c>
    </row>
    <row s="1637" customFormat="1" customHeight="1" ht="18.75" hidden="1">
      <c r="A208" s="1782" t="s">
        <v>269</v>
      </c>
      <c r="B208" s="1782" t="s">
        <v>270</v>
      </c>
      <c r="C208" s="371"/>
      <c r="D208" s="2464"/>
      <c r="E208" s="2206"/>
      <c r="F208" s="2385" t="str">
        <f>INDEX(PT_DIFFERENTIATION_VTAR,MATCH(A208,PT_DIFFERENTIATION_VTAR_ID,0))</f>
        <v>Тариф на подключение (технологическое присоединение) к централизованной системе горячего водоснабжения</v>
      </c>
      <c r="G208" s="2429" t="str">
        <f>INDEX(PT_DIFFERENTIATION_NTAR,MATCH(B208,PT_DIFFERENTIATION_NTAR_ID,0))</f>
        <v/>
      </c>
      <c r="H208" s="1864"/>
      <c r="I208" s="1741"/>
      <c r="J208" s="1775"/>
      <c r="K208" s="1780"/>
      <c r="L208" s="1864" t="s">
        <v>315</v>
      </c>
      <c r="M208" s="343"/>
      <c r="N208" s="336"/>
      <c r="O208" s="1626"/>
      <c r="P208" s="1626"/>
      <c r="AH208" s="1633">
        <v>0</v>
      </c>
    </row>
    <row s="1637" customFormat="1" customHeight="1" ht="18.75" hidden="1">
      <c r="A209" s="1782"/>
      <c r="B209" s="1782"/>
      <c r="C209" s="371" t="s">
        <v>1153</v>
      </c>
      <c r="D209" s="2464"/>
      <c r="E209" s="2206"/>
      <c r="F209" s="2385"/>
      <c r="G209" s="2429"/>
      <c r="H209" s="1502"/>
      <c r="I209" s="653" t="s">
        <v>1152</v>
      </c>
      <c r="J209" s="573"/>
      <c r="K209" s="1502"/>
      <c r="L209" s="216"/>
      <c r="M209" s="343"/>
      <c r="N209" s="336"/>
      <c r="O209" s="1626"/>
      <c r="P209" s="1626"/>
      <c r="AH209" s="1633">
        <v>0</v>
      </c>
    </row>
    <row s="1637" customFormat="1" customHeight="1" ht="0.75" hidden="1">
      <c r="A210" s="1782"/>
      <c r="B210" s="1782"/>
      <c r="C210" s="371" t="s">
        <v>1162</v>
      </c>
      <c r="D210" s="2464"/>
      <c r="E210" s="2206"/>
      <c r="F210" s="2385"/>
      <c r="G210" s="402"/>
      <c r="H210" s="1502"/>
      <c r="I210" s="653"/>
      <c r="J210" s="573"/>
      <c r="K210" s="1502"/>
      <c r="L210" s="216"/>
      <c r="M210" s="343"/>
      <c r="N210" s="336"/>
      <c r="O210" s="1626"/>
      <c r="P210" s="1626"/>
      <c r="AH210" s="1633">
        <v>0</v>
      </c>
    </row>
    <row s="1637" customFormat="1" customHeight="1" ht="18.75" hidden="1">
      <c r="A211" s="1782" t="s">
        <v>274</v>
      </c>
      <c r="B211" s="1782" t="s">
        <v>275</v>
      </c>
      <c r="C211" s="371"/>
      <c r="D211" s="2464"/>
      <c r="E211" s="2206"/>
      <c r="F211" s="2385" t="str">
        <f>INDEX(PT_DIFFERENTIATION_VTAR,MATCH(A211,PT_DIFFERENTIATION_VTAR_ID,0))</f>
        <v>Тариф на водоотведение</v>
      </c>
      <c r="G211" s="2429" t="str">
        <f>INDEX(PT_DIFFERENTIATION_NTAR,MATCH(B211,PT_DIFFERENTIATION_NTAR_ID,0))</f>
        <v/>
      </c>
      <c r="H211" s="1864"/>
      <c r="I211" s="1741"/>
      <c r="J211" s="1775"/>
      <c r="K211" s="1780"/>
      <c r="L211" s="1864" t="s">
        <v>315</v>
      </c>
      <c r="M211" s="343"/>
      <c r="N211" s="336"/>
      <c r="O211" s="1626"/>
      <c r="P211" s="1626"/>
      <c r="AH211" s="1633">
        <v>0</v>
      </c>
    </row>
    <row s="1637" customFormat="1" customHeight="1" ht="18.75" hidden="1">
      <c r="A212" s="1782"/>
      <c r="B212" s="1782"/>
      <c r="C212" s="371" t="s">
        <v>1153</v>
      </c>
      <c r="D212" s="2464"/>
      <c r="E212" s="2206"/>
      <c r="F212" s="2385"/>
      <c r="G212" s="2429"/>
      <c r="H212" s="1502"/>
      <c r="I212" s="653" t="s">
        <v>1152</v>
      </c>
      <c r="J212" s="573"/>
      <c r="K212" s="1502"/>
      <c r="L212" s="216"/>
      <c r="M212" s="343"/>
      <c r="N212" s="336"/>
      <c r="O212" s="1626"/>
      <c r="P212" s="1626"/>
      <c r="AH212" s="1633">
        <v>0</v>
      </c>
    </row>
    <row s="1637" customFormat="1" customHeight="1" ht="0.75" hidden="1">
      <c r="A213" s="1782"/>
      <c r="B213" s="1782"/>
      <c r="C213" s="371" t="s">
        <v>1162</v>
      </c>
      <c r="D213" s="2464"/>
      <c r="E213" s="2206"/>
      <c r="F213" s="2385"/>
      <c r="G213" s="402"/>
      <c r="H213" s="1502"/>
      <c r="I213" s="653"/>
      <c r="J213" s="573"/>
      <c r="K213" s="1502"/>
      <c r="L213" s="216"/>
      <c r="M213" s="343"/>
      <c r="N213" s="336"/>
      <c r="O213" s="1626"/>
      <c r="P213" s="1626"/>
      <c r="AH213" s="1633">
        <v>0</v>
      </c>
    </row>
    <row s="1637" customFormat="1" customHeight="1" ht="18.75" hidden="1">
      <c r="A214" s="1782" t="s">
        <v>279</v>
      </c>
      <c r="B214" s="1782" t="s">
        <v>280</v>
      </c>
      <c r="C214" s="371"/>
      <c r="D214" s="2464"/>
      <c r="E214" s="2206"/>
      <c r="F214" s="2385" t="str">
        <f>INDEX(PT_DIFFERENTIATION_VTAR,MATCH(A214,PT_DIFFERENTIATION_VTAR_ID,0))</f>
        <v>Тариф на транспортировку сточных вод</v>
      </c>
      <c r="G214" s="2429" t="str">
        <f>INDEX(PT_DIFFERENTIATION_NTAR,MATCH(B214,PT_DIFFERENTIATION_NTAR_ID,0))</f>
        <v/>
      </c>
      <c r="H214" s="1864"/>
      <c r="I214" s="1741"/>
      <c r="J214" s="1775"/>
      <c r="K214" s="1780"/>
      <c r="L214" s="1864" t="s">
        <v>315</v>
      </c>
      <c r="M214" s="343"/>
      <c r="N214" s="336"/>
      <c r="O214" s="1626"/>
      <c r="P214" s="1626"/>
      <c r="AH214" s="1633">
        <v>0</v>
      </c>
    </row>
    <row s="1637" customFormat="1" customHeight="1" ht="18.75" hidden="1">
      <c r="A215" s="1782"/>
      <c r="B215" s="1782"/>
      <c r="C215" s="371" t="s">
        <v>1153</v>
      </c>
      <c r="D215" s="2464"/>
      <c r="E215" s="2206"/>
      <c r="F215" s="2385"/>
      <c r="G215" s="2429"/>
      <c r="H215" s="1502"/>
      <c r="I215" s="653" t="s">
        <v>1152</v>
      </c>
      <c r="J215" s="573"/>
      <c r="K215" s="1502"/>
      <c r="L215" s="216"/>
      <c r="M215" s="343"/>
      <c r="N215" s="336"/>
      <c r="O215" s="1626"/>
      <c r="P215" s="1626"/>
      <c r="AH215" s="1633">
        <v>0</v>
      </c>
    </row>
    <row s="1637" customFormat="1" customHeight="1" ht="0.75" hidden="1">
      <c r="A216" s="1782"/>
      <c r="B216" s="1782"/>
      <c r="C216" s="371" t="s">
        <v>1162</v>
      </c>
      <c r="D216" s="2464"/>
      <c r="E216" s="2206"/>
      <c r="F216" s="2385"/>
      <c r="G216" s="402"/>
      <c r="H216" s="1502"/>
      <c r="I216" s="653"/>
      <c r="J216" s="573"/>
      <c r="K216" s="1502"/>
      <c r="L216" s="216"/>
      <c r="M216" s="343"/>
      <c r="N216" s="336"/>
      <c r="O216" s="1626"/>
      <c r="P216" s="1626"/>
      <c r="AH216" s="1633">
        <v>0</v>
      </c>
    </row>
    <row s="1637" customFormat="1" customHeight="1" ht="18.75" hidden="1">
      <c r="A217" s="1782" t="s">
        <v>284</v>
      </c>
      <c r="B217" s="1782" t="s">
        <v>285</v>
      </c>
      <c r="C217" s="371"/>
      <c r="D217" s="2464"/>
      <c r="E217" s="2206"/>
      <c r="F217" s="2385" t="str">
        <f>INDEX(PT_DIFFERENTIATION_VTAR,MATCH(A217,PT_DIFFERENTIATION_VTAR_ID,0))</f>
        <v>Тариф на подключение (технологическое присоединение) к централизованной системе водоотведения</v>
      </c>
      <c r="G217" s="2429" t="str">
        <f>INDEX(PT_DIFFERENTIATION_NTAR,MATCH(B217,PT_DIFFERENTIATION_NTAR_ID,0))</f>
        <v/>
      </c>
      <c r="H217" s="1864"/>
      <c r="I217" s="1741"/>
      <c r="J217" s="1775"/>
      <c r="K217" s="1780"/>
      <c r="L217" s="1864" t="s">
        <v>315</v>
      </c>
      <c r="M217" s="343"/>
      <c r="N217" s="336"/>
      <c r="O217" s="1626"/>
      <c r="P217" s="1626"/>
      <c r="AH217" s="1633">
        <v>0</v>
      </c>
    </row>
    <row s="1637" customFormat="1" customHeight="1" ht="18.75" hidden="1">
      <c r="A218" s="1782"/>
      <c r="B218" s="1782"/>
      <c r="C218" s="371" t="s">
        <v>1153</v>
      </c>
      <c r="D218" s="2464"/>
      <c r="E218" s="2206"/>
      <c r="F218" s="2385"/>
      <c r="G218" s="2429"/>
      <c r="H218" s="1502"/>
      <c r="I218" s="653" t="s">
        <v>1152</v>
      </c>
      <c r="J218" s="573"/>
      <c r="K218" s="1502"/>
      <c r="L218" s="216"/>
      <c r="M218" s="343"/>
      <c r="N218" s="336"/>
      <c r="O218" s="1626"/>
      <c r="P218" s="1626"/>
      <c r="AH218" s="1633">
        <v>0</v>
      </c>
    </row>
    <row s="1637" customFormat="1" customHeight="1" ht="0.75">
      <c r="A219" s="1782"/>
      <c r="B219" s="1782"/>
      <c r="C219" s="371" t="s">
        <v>1162</v>
      </c>
      <c r="D219" s="2464"/>
      <c r="E219" s="2206"/>
      <c r="F219" s="2385"/>
      <c r="G219" s="402"/>
      <c r="H219" s="1502"/>
      <c r="I219" s="653"/>
      <c r="J219" s="573"/>
      <c r="K219" s="1502"/>
      <c r="L219" s="216"/>
      <c r="M219" s="343"/>
      <c r="N219" s="336"/>
      <c r="O219" s="1626"/>
      <c r="P219" s="1626"/>
      <c r="AH219" s="1633">
        <v>1</v>
      </c>
    </row>
    <row customHeight="1" ht="27">
      <c r="A220" s="1782"/>
      <c r="B220" s="1782"/>
      <c r="D220" s="378"/>
      <c r="E220" s="149" t="s">
        <v>113</v>
      </c>
      <c r="F220"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20" s="2462"/>
      <c r="H220" s="2462"/>
      <c r="I220" s="2462"/>
      <c r="J220" s="2462"/>
      <c r="K220" s="2462"/>
      <c r="L220" s="2462"/>
      <c r="M220" s="299"/>
      <c r="N220" s="336"/>
      <c r="AH220" s="376">
        <v>26</v>
      </c>
    </row>
    <row s="1637" customFormat="1" customHeight="1" ht="60.75" hidden="1">
      <c r="A221" s="1782" t="s">
        <v>157</v>
      </c>
      <c r="B221" s="1782" t="s">
        <v>158</v>
      </c>
      <c r="C221" s="371"/>
      <c r="D221" s="2464"/>
      <c r="E221" s="2206"/>
      <c r="F221" s="2385" t="str">
        <f>INDEX(PT_DIFFERENTIATION_VTAR,MATCH(A221,PT_DIFFERENTIATION_VTAR_ID,0))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21" s="2429" t="str">
        <f>INDEX(PT_DIFFERENTIATION_NTAR,MATCH(B221,PT_DIFFERENTIATION_NTAR_ID,0))</f>
        <v/>
      </c>
      <c r="H221" s="1864"/>
      <c r="I221" s="1741"/>
      <c r="J221" s="1775"/>
      <c r="K221" s="1780"/>
      <c r="L221" s="1864" t="s">
        <v>315</v>
      </c>
      <c r="M221"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21" s="336"/>
      <c r="O221" s="1626"/>
      <c r="P221" s="1626"/>
      <c r="AH221" s="1633">
        <v>0</v>
      </c>
    </row>
    <row s="1637" customFormat="1" customHeight="1" ht="18.75" hidden="1">
      <c r="A222" s="1782"/>
      <c r="B222" s="1782"/>
      <c r="C222" s="371" t="s">
        <v>1153</v>
      </c>
      <c r="D222" s="2464"/>
      <c r="E222" s="2206"/>
      <c r="F222" s="2385"/>
      <c r="G222" s="2429"/>
      <c r="H222" s="1502"/>
      <c r="I222" s="653" t="s">
        <v>1152</v>
      </c>
      <c r="J222" s="573"/>
      <c r="K222" s="1502"/>
      <c r="L222" s="216"/>
      <c r="M222" s="2172"/>
      <c r="N222" s="336"/>
      <c r="O222" s="1626"/>
      <c r="P222" s="1626"/>
      <c r="AH222" s="1633">
        <v>0</v>
      </c>
    </row>
    <row s="1637" customFormat="1" customHeight="1" ht="0.75" hidden="1">
      <c r="A223" s="1782"/>
      <c r="B223" s="1782"/>
      <c r="C223" s="371" t="s">
        <v>1162</v>
      </c>
      <c r="D223" s="2464"/>
      <c r="E223" s="2206"/>
      <c r="F223" s="2385"/>
      <c r="G223" s="402"/>
      <c r="H223" s="1502"/>
      <c r="I223" s="653"/>
      <c r="J223" s="573"/>
      <c r="K223" s="1502"/>
      <c r="L223" s="216"/>
      <c r="M223" s="2172"/>
      <c r="N223" s="336"/>
      <c r="O223" s="1626"/>
      <c r="P223" s="1626"/>
      <c r="AH223" s="1633">
        <v>0</v>
      </c>
    </row>
    <row s="1637" customFormat="1" customHeight="1" ht="45">
      <c r="A224" s="1782" t="s">
        <v>167</v>
      </c>
      <c r="B224" s="1782" t="s">
        <v>168</v>
      </c>
      <c r="C224" s="371"/>
      <c r="D224" s="2464"/>
      <c r="E224" s="2206"/>
      <c r="F224" s="2385" t="str">
        <f>INDEX(PT_DIFFERENTIATION_VTAR,MATCH(A224,PT_DIFFERENTIATION_VTAR_ID,0))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24" s="2429" t="str">
        <f>INDEX(PT_DIFFERENTIATION_NTAR,MATCH(B224,PT_DIFFERENTIATION_NTAR_ID,0))</f>
        <v>Тариф на тепловую энергию</v>
      </c>
      <c r="H224" s="1864"/>
      <c r="I224" s="1741" t="s">
        <v>1163</v>
      </c>
      <c r="J224" s="1775" t="s">
        <v>1164</v>
      </c>
      <c r="K224" s="1780">
        <v>7788.44</v>
      </c>
      <c r="L224" s="1864" t="s">
        <v>315</v>
      </c>
      <c r="M224" s="2173"/>
      <c r="N224" s="336"/>
      <c r="O224" s="1626"/>
      <c r="P224" s="1626"/>
      <c r="AH224" s="1633">
        <v>0</v>
      </c>
    </row>
    <row s="1637" customFormat="1" customHeight="1" ht="56.25">
      <c r="A225" s="1825"/>
      <c r="B225" s="1825"/>
      <c r="C225" s="1689"/>
      <c r="D225" s="346"/>
      <c r="E225" s="1033"/>
      <c r="F225" s="1033"/>
      <c r="G225" s="1033"/>
      <c r="H225" s="2579" t="s">
        <v>454</v>
      </c>
      <c r="I225" s="1741" t="s">
        <v>1165</v>
      </c>
      <c r="J225" s="1775" t="s">
        <v>1166</v>
      </c>
      <c r="K225" s="1780">
        <v>8123.84</v>
      </c>
      <c r="L225" s="2273" t="s">
        <v>315</v>
      </c>
      <c r="M225" s="2320"/>
      <c r="N225" s="620"/>
      <c r="O225" s="1626"/>
      <c r="P225" s="1626"/>
      <c r="Q225" s="1637"/>
      <c r="R225" s="1637"/>
      <c r="S225" s="1637"/>
      <c r="T225" s="1637"/>
      <c r="U225" s="1637"/>
      <c r="V225" s="1637"/>
      <c r="W225" s="1637"/>
      <c r="X225" s="1637"/>
      <c r="Y225" s="1637"/>
      <c r="Z225" s="1637"/>
      <c r="AA225" s="1637"/>
      <c r="AB225" s="1637"/>
      <c r="AC225" s="1637"/>
      <c r="AD225" s="1637"/>
      <c r="AE225" s="1637"/>
      <c r="AF225" s="1637"/>
      <c r="AG225" s="1637"/>
      <c r="AH225" s="1637">
        <v>0</v>
      </c>
    </row>
    <row s="1637" customFormat="1" customHeight="1" ht="56.25">
      <c r="A226" s="1825"/>
      <c r="B226" s="1825"/>
      <c r="C226" s="1689"/>
      <c r="D226" s="346"/>
      <c r="E226" s="1033"/>
      <c r="F226" s="1033"/>
      <c r="G226" s="1033"/>
      <c r="H226" s="2579" t="s">
        <v>454</v>
      </c>
      <c r="I226" s="1741" t="s">
        <v>1167</v>
      </c>
      <c r="J226" s="1775" t="s">
        <v>1168</v>
      </c>
      <c r="K226" s="1780">
        <v>9182.97</v>
      </c>
      <c r="L226" s="2273" t="s">
        <v>315</v>
      </c>
      <c r="M226" s="2320"/>
      <c r="N226" s="620"/>
      <c r="O226" s="1626"/>
      <c r="P226" s="1626"/>
      <c r="Q226" s="1637"/>
      <c r="R226" s="1637"/>
      <c r="S226" s="1637"/>
      <c r="T226" s="1637"/>
      <c r="U226" s="1637"/>
      <c r="V226" s="1637"/>
      <c r="W226" s="1637"/>
      <c r="X226" s="1637"/>
      <c r="Y226" s="1637"/>
      <c r="Z226" s="1637"/>
      <c r="AA226" s="1637"/>
      <c r="AB226" s="1637"/>
      <c r="AC226" s="1637"/>
      <c r="AD226" s="1637"/>
      <c r="AE226" s="1637"/>
      <c r="AF226" s="1637"/>
      <c r="AG226" s="1637"/>
      <c r="AH226" s="1637">
        <v>0</v>
      </c>
    </row>
    <row s="1637" customFormat="1" customHeight="1" ht="56.25">
      <c r="A227" s="1825"/>
      <c r="B227" s="1825"/>
      <c r="C227" s="1689"/>
      <c r="D227" s="346"/>
      <c r="E227" s="1033"/>
      <c r="F227" s="1033"/>
      <c r="G227" s="1033"/>
      <c r="H227" s="2579" t="s">
        <v>454</v>
      </c>
      <c r="I227" s="1741" t="s">
        <v>1169</v>
      </c>
      <c r="J227" s="1775" t="s">
        <v>1170</v>
      </c>
      <c r="K227" s="1780">
        <v>0</v>
      </c>
      <c r="L227" s="2273" t="s">
        <v>315</v>
      </c>
      <c r="M227" s="2320"/>
      <c r="N227" s="620"/>
      <c r="O227" s="1626"/>
      <c r="P227" s="1626"/>
      <c r="Q227" s="1637"/>
      <c r="R227" s="1637"/>
      <c r="S227" s="1637"/>
      <c r="T227" s="1637"/>
      <c r="U227" s="1637"/>
      <c r="V227" s="1637"/>
      <c r="W227" s="1637"/>
      <c r="X227" s="1637"/>
      <c r="Y227" s="1637"/>
      <c r="Z227" s="1637"/>
      <c r="AA227" s="1637"/>
      <c r="AB227" s="1637"/>
      <c r="AC227" s="1637"/>
      <c r="AD227" s="1637"/>
      <c r="AE227" s="1637"/>
      <c r="AF227" s="1637"/>
      <c r="AG227" s="1637"/>
      <c r="AH227" s="1637">
        <v>0</v>
      </c>
    </row>
    <row s="1637" customFormat="1" customHeight="1" ht="56.25">
      <c r="A228" s="1825"/>
      <c r="B228" s="1825"/>
      <c r="C228" s="1689"/>
      <c r="D228" s="346"/>
      <c r="E228" s="1033"/>
      <c r="F228" s="1033"/>
      <c r="G228" s="1033"/>
      <c r="H228" s="2579" t="s">
        <v>454</v>
      </c>
      <c r="I228" s="1741" t="s">
        <v>1171</v>
      </c>
      <c r="J228" s="1775" t="s">
        <v>1172</v>
      </c>
      <c r="K228" s="1780">
        <v>0</v>
      </c>
      <c r="L228" s="2273" t="s">
        <v>315</v>
      </c>
      <c r="M228" s="2320"/>
      <c r="N228" s="620"/>
      <c r="O228" s="1626"/>
      <c r="P228" s="1626"/>
      <c r="Q228" s="1637"/>
      <c r="R228" s="1637"/>
      <c r="S228" s="1637"/>
      <c r="T228" s="1637"/>
      <c r="U228" s="1637"/>
      <c r="V228" s="1637"/>
      <c r="W228" s="1637"/>
      <c r="X228" s="1637"/>
      <c r="Y228" s="1637"/>
      <c r="Z228" s="1637"/>
      <c r="AA228" s="1637"/>
      <c r="AB228" s="1637"/>
      <c r="AC228" s="1637"/>
      <c r="AD228" s="1637"/>
      <c r="AE228" s="1637"/>
      <c r="AF228" s="1637"/>
      <c r="AG228" s="1637"/>
      <c r="AH228" s="1637">
        <v>0</v>
      </c>
    </row>
    <row s="1637" customFormat="1" customHeight="1" ht="18.75">
      <c r="A229" s="1782"/>
      <c r="B229" s="1782"/>
      <c r="C229" s="371" t="s">
        <v>1153</v>
      </c>
      <c r="D229" s="2464"/>
      <c r="E229" s="2206"/>
      <c r="F229" s="2385"/>
      <c r="G229" s="2429"/>
      <c r="H229" s="1502"/>
      <c r="I229" s="653" t="s">
        <v>1152</v>
      </c>
      <c r="J229" s="573"/>
      <c r="K229" s="1502"/>
      <c r="L229" s="216"/>
      <c r="M229" s="1863"/>
      <c r="N229" s="336"/>
      <c r="O229" s="1626"/>
      <c r="P229" s="1626"/>
      <c r="AH229" s="1633">
        <v>0</v>
      </c>
    </row>
    <row s="1637" customFormat="1" customHeight="1" ht="0.75">
      <c r="A230" s="1782"/>
      <c r="B230" s="1782"/>
      <c r="C230" s="371" t="s">
        <v>1162</v>
      </c>
      <c r="D230" s="2464"/>
      <c r="E230" s="2206"/>
      <c r="F230" s="2385"/>
      <c r="G230" s="402"/>
      <c r="H230" s="1502"/>
      <c r="I230" s="653"/>
      <c r="J230" s="573"/>
      <c r="K230" s="1502"/>
      <c r="L230" s="216"/>
      <c r="M230" s="343"/>
      <c r="N230" s="336"/>
      <c r="O230" s="1626"/>
      <c r="P230" s="1626"/>
      <c r="AH230" s="1633">
        <v>0</v>
      </c>
    </row>
    <row s="1637" customFormat="1" customHeight="1" ht="45" hidden="1">
      <c r="A231" s="1782" t="s">
        <v>178</v>
      </c>
      <c r="B231" s="1782" t="s">
        <v>179</v>
      </c>
      <c r="C231" s="371"/>
      <c r="D231" s="2464"/>
      <c r="E231" s="2206"/>
      <c r="F231" s="2385" t="str">
        <f>INDEX(PT_DIFFERENTIATION_VTAR,MATCH(A231,PT_DIFFERENTIATION_VTAR_ID,0))</f>
        <v>Тарифы на теплоноситель, поставляемый теплоснабжающими организациями потребителям, другим теплоснабжающим организациям</v>
      </c>
      <c r="G231" s="2429" t="str">
        <f>INDEX(PT_DIFFERENTIATION_NTAR,MATCH(B231,PT_DIFFERENTIATION_NTAR_ID,0))</f>
        <v/>
      </c>
      <c r="H231" s="1864"/>
      <c r="I231" s="1741"/>
      <c r="J231" s="1775"/>
      <c r="K231" s="1780"/>
      <c r="L231" s="1864" t="s">
        <v>315</v>
      </c>
      <c r="M231" s="343"/>
      <c r="N231" s="336"/>
      <c r="O231" s="1626"/>
      <c r="P231" s="1626"/>
      <c r="AH231" s="1633">
        <v>0</v>
      </c>
    </row>
    <row s="1637" customFormat="1" customHeight="1" ht="18.75" hidden="1">
      <c r="A232" s="1782"/>
      <c r="B232" s="1782"/>
      <c r="C232" s="371" t="s">
        <v>1153</v>
      </c>
      <c r="D232" s="2464"/>
      <c r="E232" s="2206"/>
      <c r="F232" s="2385"/>
      <c r="G232" s="2429"/>
      <c r="H232" s="1502"/>
      <c r="I232" s="653" t="s">
        <v>1152</v>
      </c>
      <c r="J232" s="573"/>
      <c r="K232" s="1502"/>
      <c r="L232" s="216"/>
      <c r="M232" s="343"/>
      <c r="N232" s="336"/>
      <c r="O232" s="1626"/>
      <c r="P232" s="1626"/>
      <c r="AH232" s="1633">
        <v>0</v>
      </c>
    </row>
    <row s="1637" customFormat="1" customHeight="1" ht="0.75" hidden="1">
      <c r="A233" s="1782"/>
      <c r="B233" s="1782"/>
      <c r="C233" s="371" t="s">
        <v>1162</v>
      </c>
      <c r="D233" s="2464"/>
      <c r="E233" s="2206"/>
      <c r="F233" s="2385"/>
      <c r="G233" s="402"/>
      <c r="H233" s="1502"/>
      <c r="I233" s="653"/>
      <c r="J233" s="573"/>
      <c r="K233" s="1502"/>
      <c r="L233" s="216"/>
      <c r="M233" s="343"/>
      <c r="N233" s="336"/>
      <c r="O233" s="1626"/>
      <c r="P233" s="1626"/>
      <c r="AH233" s="1633">
        <v>0</v>
      </c>
    </row>
    <row s="1637" customFormat="1" customHeight="1" ht="45" hidden="1">
      <c r="A234" s="1782" t="s">
        <v>184</v>
      </c>
      <c r="B234" s="1782" t="s">
        <v>185</v>
      </c>
      <c r="C234" s="371"/>
      <c r="D234" s="2464"/>
      <c r="E234" s="2206"/>
      <c r="F234" s="2385" t="str">
        <f>INDEX(PT_DIFFERENTIATION_VTAR,MATCH(A234,PT_DIFFERENTIATION_VTAR_ID,0))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34" s="2429" t="str">
        <f>INDEX(PT_DIFFERENTIATION_NTAR,MATCH(B234,PT_DIFFERENTIATION_NTAR_ID,0))</f>
        <v/>
      </c>
      <c r="H234" s="1864"/>
      <c r="I234" s="1741"/>
      <c r="J234" s="1775"/>
      <c r="K234" s="1780"/>
      <c r="L234" s="1864" t="s">
        <v>315</v>
      </c>
      <c r="M234" s="343"/>
      <c r="N234" s="336"/>
      <c r="O234" s="1626"/>
      <c r="P234" s="1626"/>
      <c r="AH234" s="1633">
        <v>0</v>
      </c>
    </row>
    <row s="1637" customFormat="1" customHeight="1" ht="18.75" hidden="1">
      <c r="A235" s="1782"/>
      <c r="B235" s="1782"/>
      <c r="C235" s="371" t="s">
        <v>1153</v>
      </c>
      <c r="D235" s="2464"/>
      <c r="E235" s="2206"/>
      <c r="F235" s="2385"/>
      <c r="G235" s="2429"/>
      <c r="H235" s="1502"/>
      <c r="I235" s="653" t="s">
        <v>1152</v>
      </c>
      <c r="J235" s="573"/>
      <c r="K235" s="1502"/>
      <c r="L235" s="216"/>
      <c r="M235" s="343"/>
      <c r="N235" s="336"/>
      <c r="O235" s="1626"/>
      <c r="P235" s="1626"/>
      <c r="AH235" s="1633">
        <v>0</v>
      </c>
    </row>
    <row s="1637" customFormat="1" customHeight="1" ht="0.75" hidden="1">
      <c r="A236" s="1782"/>
      <c r="B236" s="1782"/>
      <c r="C236" s="371" t="s">
        <v>1162</v>
      </c>
      <c r="D236" s="2464"/>
      <c r="E236" s="2206"/>
      <c r="F236" s="2385"/>
      <c r="G236" s="402"/>
      <c r="H236" s="1502"/>
      <c r="I236" s="653"/>
      <c r="J236" s="573"/>
      <c r="K236" s="1502"/>
      <c r="L236" s="216"/>
      <c r="M236" s="343"/>
      <c r="N236" s="336"/>
      <c r="O236" s="1626"/>
      <c r="P236" s="1626"/>
      <c r="AH236" s="1633">
        <v>0</v>
      </c>
    </row>
    <row s="1637" customFormat="1" customHeight="1" ht="18.75" hidden="1">
      <c r="A237" s="1782" t="s">
        <v>190</v>
      </c>
      <c r="B237" s="1782" t="s">
        <v>191</v>
      </c>
      <c r="C237" s="371"/>
      <c r="D237" s="2464"/>
      <c r="E237" s="2206"/>
      <c r="F237" s="2385" t="str">
        <f>INDEX(PT_DIFFERENTIATION_VTAR,MATCH(A237,PT_DIFFERENTIATION_VTAR_ID,0))</f>
        <v>Тарифы на услуги по передаче тепловой энергии</v>
      </c>
      <c r="G237" s="2429" t="str">
        <f>INDEX(PT_DIFFERENTIATION_NTAR,MATCH(B237,PT_DIFFERENTIATION_NTAR_ID,0))</f>
        <v/>
      </c>
      <c r="H237" s="1864"/>
      <c r="I237" s="1741"/>
      <c r="J237" s="1775"/>
      <c r="K237" s="1780"/>
      <c r="L237" s="1864" t="s">
        <v>315</v>
      </c>
      <c r="M237" s="343"/>
      <c r="N237" s="336"/>
      <c r="O237" s="1626"/>
      <c r="P237" s="1626"/>
      <c r="AH237" s="1633">
        <v>0</v>
      </c>
    </row>
    <row s="1637" customFormat="1" customHeight="1" ht="18.75" hidden="1">
      <c r="A238" s="1782"/>
      <c r="B238" s="1782"/>
      <c r="C238" s="371" t="s">
        <v>1153</v>
      </c>
      <c r="D238" s="2464"/>
      <c r="E238" s="2206"/>
      <c r="F238" s="2385"/>
      <c r="G238" s="2429"/>
      <c r="H238" s="1502"/>
      <c r="I238" s="653" t="s">
        <v>1152</v>
      </c>
      <c r="J238" s="573"/>
      <c r="K238" s="1502"/>
      <c r="L238" s="216"/>
      <c r="M238" s="343"/>
      <c r="N238" s="336"/>
      <c r="O238" s="1626"/>
      <c r="P238" s="1626"/>
      <c r="AH238" s="1633">
        <v>0</v>
      </c>
    </row>
    <row s="1637" customFormat="1" customHeight="1" ht="0.75" hidden="1">
      <c r="A239" s="1782"/>
      <c r="B239" s="1782"/>
      <c r="C239" s="371" t="s">
        <v>1162</v>
      </c>
      <c r="D239" s="2464"/>
      <c r="E239" s="2206"/>
      <c r="F239" s="2385"/>
      <c r="G239" s="402"/>
      <c r="H239" s="1502"/>
      <c r="I239" s="653"/>
      <c r="J239" s="573"/>
      <c r="K239" s="1502"/>
      <c r="L239" s="216"/>
      <c r="M239" s="343"/>
      <c r="N239" s="336"/>
      <c r="O239" s="1626"/>
      <c r="P239" s="1626"/>
      <c r="AH239" s="1633">
        <v>0</v>
      </c>
    </row>
    <row s="1637" customFormat="1" customHeight="1" ht="18.75" hidden="1">
      <c r="A240" s="1782" t="s">
        <v>196</v>
      </c>
      <c r="B240" s="1782" t="s">
        <v>197</v>
      </c>
      <c r="C240" s="371"/>
      <c r="D240" s="2464"/>
      <c r="E240" s="2206"/>
      <c r="F240" s="2385" t="str">
        <f>INDEX(PT_DIFFERENTIATION_VTAR,MATCH(A240,PT_DIFFERENTIATION_VTAR_ID,0))</f>
        <v>Тарифы на услуги по передаче теплоносителя</v>
      </c>
      <c r="G240" s="2429" t="str">
        <f>INDEX(PT_DIFFERENTIATION_NTAR,MATCH(B240,PT_DIFFERENTIATION_NTAR_ID,0))</f>
        <v/>
      </c>
      <c r="H240" s="1864"/>
      <c r="I240" s="1741"/>
      <c r="J240" s="1775"/>
      <c r="K240" s="1780"/>
      <c r="L240" s="1864" t="s">
        <v>315</v>
      </c>
      <c r="M240" s="343"/>
      <c r="N240" s="336"/>
      <c r="O240" s="1626"/>
      <c r="P240" s="1626"/>
      <c r="AH240" s="1633">
        <v>0</v>
      </c>
    </row>
    <row s="1637" customFormat="1" customHeight="1" ht="18.75" hidden="1">
      <c r="A241" s="1782"/>
      <c r="B241" s="1782"/>
      <c r="C241" s="371" t="s">
        <v>1153</v>
      </c>
      <c r="D241" s="2464"/>
      <c r="E241" s="2206"/>
      <c r="F241" s="2385"/>
      <c r="G241" s="2429"/>
      <c r="H241" s="1502"/>
      <c r="I241" s="653" t="s">
        <v>1152</v>
      </c>
      <c r="J241" s="573"/>
      <c r="K241" s="1502"/>
      <c r="L241" s="216"/>
      <c r="M241" s="343"/>
      <c r="N241" s="336"/>
      <c r="O241" s="1626"/>
      <c r="P241" s="1626"/>
      <c r="AH241" s="1633">
        <v>0</v>
      </c>
    </row>
    <row s="1637" customFormat="1" customHeight="1" ht="0.75" hidden="1">
      <c r="A242" s="1782"/>
      <c r="B242" s="1782"/>
      <c r="C242" s="371" t="s">
        <v>1162</v>
      </c>
      <c r="D242" s="2464"/>
      <c r="E242" s="2206"/>
      <c r="F242" s="2385"/>
      <c r="G242" s="402"/>
      <c r="H242" s="1502"/>
      <c r="I242" s="653"/>
      <c r="J242" s="573"/>
      <c r="K242" s="1502"/>
      <c r="L242" s="216"/>
      <c r="M242" s="343"/>
      <c r="N242" s="336"/>
      <c r="O242" s="1626"/>
      <c r="P242" s="1626"/>
      <c r="AH242" s="1633">
        <v>0</v>
      </c>
    </row>
    <row s="1637" customFormat="1" customHeight="1" ht="18.75" hidden="1">
      <c r="A243" s="1782" t="s">
        <v>202</v>
      </c>
      <c r="B243" s="1782" t="s">
        <v>203</v>
      </c>
      <c r="C243" s="371"/>
      <c r="D243" s="2464"/>
      <c r="E243" s="2206"/>
      <c r="F243" s="2385" t="str">
        <f>INDEX(PT_DIFFERENTIATION_VTAR,MATCH(A243,PT_DIFFERENTIATION_VTAR_ID,0))</f>
        <v>Плата за услуги по поддержанию резервной тепловой мощности при отсутствии потребления тепловой энергии</v>
      </c>
      <c r="G243" s="2429" t="str">
        <f>INDEX(PT_DIFFERENTIATION_NTAR,MATCH(B243,PT_DIFFERENTIATION_NTAR_ID,0))</f>
        <v/>
      </c>
      <c r="H243" s="1864"/>
      <c r="I243" s="1741"/>
      <c r="J243" s="1775"/>
      <c r="K243" s="1780"/>
      <c r="L243" s="1864" t="s">
        <v>315</v>
      </c>
      <c r="M243" s="343"/>
      <c r="N243" s="336"/>
      <c r="O243" s="1626"/>
      <c r="P243" s="1626"/>
      <c r="AH243" s="1633">
        <v>0</v>
      </c>
    </row>
    <row s="1637" customFormat="1" customHeight="1" ht="18.75" hidden="1">
      <c r="A244" s="1782"/>
      <c r="B244" s="1782"/>
      <c r="C244" s="371" t="s">
        <v>1153</v>
      </c>
      <c r="D244" s="2464"/>
      <c r="E244" s="2206"/>
      <c r="F244" s="2385"/>
      <c r="G244" s="2429"/>
      <c r="H244" s="1502"/>
      <c r="I244" s="653" t="s">
        <v>1152</v>
      </c>
      <c r="J244" s="573"/>
      <c r="K244" s="1502"/>
      <c r="L244" s="216"/>
      <c r="M244" s="343"/>
      <c r="N244" s="336"/>
      <c r="O244" s="1626"/>
      <c r="P244" s="1626"/>
      <c r="AH244" s="1633">
        <v>0</v>
      </c>
    </row>
    <row s="1637" customFormat="1" customHeight="1" ht="0.75" hidden="1">
      <c r="A245" s="1782"/>
      <c r="B245" s="1782"/>
      <c r="C245" s="371" t="s">
        <v>1162</v>
      </c>
      <c r="D245" s="2464"/>
      <c r="E245" s="2206"/>
      <c r="F245" s="2385"/>
      <c r="G245" s="402"/>
      <c r="H245" s="1502"/>
      <c r="I245" s="653"/>
      <c r="J245" s="573"/>
      <c r="K245" s="1502"/>
      <c r="L245" s="216"/>
      <c r="M245" s="343"/>
      <c r="N245" s="336"/>
      <c r="O245" s="1626"/>
      <c r="P245" s="1626"/>
      <c r="AH245" s="1633">
        <v>0</v>
      </c>
    </row>
    <row s="1637" customFormat="1" customHeight="1" ht="18.75" hidden="1">
      <c r="A246" s="1782" t="s">
        <v>208</v>
      </c>
      <c r="B246" s="1782" t="s">
        <v>209</v>
      </c>
      <c r="C246" s="371"/>
      <c r="D246" s="2464"/>
      <c r="E246" s="2206"/>
      <c r="F246" s="2385" t="str">
        <f>INDEX(PT_DIFFERENTIATION_VTAR,MATCH(A246,PT_DIFFERENTIATION_VTAR_ID,0))</f>
        <v>Плата за подключение (технологическое присоединение) к системе теплоснабжения</v>
      </c>
      <c r="G246" s="2429" t="str">
        <f>INDEX(PT_DIFFERENTIATION_NTAR,MATCH(B246,PT_DIFFERENTIATION_NTAR_ID,0))</f>
        <v/>
      </c>
      <c r="H246" s="1864"/>
      <c r="I246" s="1741"/>
      <c r="J246" s="1775"/>
      <c r="K246" s="1780"/>
      <c r="L246" s="1864" t="s">
        <v>315</v>
      </c>
      <c r="M246" s="343"/>
      <c r="N246" s="336"/>
      <c r="O246" s="1626"/>
      <c r="P246" s="1626"/>
      <c r="AH246" s="1633">
        <v>0</v>
      </c>
    </row>
    <row s="1637" customFormat="1" customHeight="1" ht="18.75" hidden="1">
      <c r="A247" s="1782"/>
      <c r="B247" s="1782"/>
      <c r="C247" s="371" t="s">
        <v>1153</v>
      </c>
      <c r="D247" s="2464"/>
      <c r="E247" s="2206"/>
      <c r="F247" s="2385"/>
      <c r="G247" s="2429"/>
      <c r="H247" s="1502"/>
      <c r="I247" s="653" t="s">
        <v>1152</v>
      </c>
      <c r="J247" s="573"/>
      <c r="K247" s="1502"/>
      <c r="L247" s="216"/>
      <c r="M247" s="343"/>
      <c r="N247" s="336"/>
      <c r="O247" s="1626"/>
      <c r="P247" s="1626"/>
      <c r="AH247" s="1633">
        <v>0</v>
      </c>
    </row>
    <row s="1637" customFormat="1" customHeight="1" ht="0.75" hidden="1">
      <c r="A248" s="1782"/>
      <c r="B248" s="1782"/>
      <c r="C248" s="371" t="s">
        <v>1162</v>
      </c>
      <c r="D248" s="2464"/>
      <c r="E248" s="2206"/>
      <c r="F248" s="2385"/>
      <c r="G248" s="402"/>
      <c r="H248" s="1502"/>
      <c r="I248" s="653"/>
      <c r="J248" s="573"/>
      <c r="K248" s="1502"/>
      <c r="L248" s="216"/>
      <c r="M248" s="343"/>
      <c r="N248" s="336"/>
      <c r="O248" s="1626"/>
      <c r="P248" s="1626"/>
      <c r="AH248" s="1633">
        <v>0</v>
      </c>
    </row>
    <row s="1637" customFormat="1" customHeight="1" ht="18.75" hidden="1">
      <c r="A249" s="1782" t="s">
        <v>214</v>
      </c>
      <c r="B249" s="1782" t="s">
        <v>215</v>
      </c>
      <c r="C249" s="371"/>
      <c r="D249" s="2464"/>
      <c r="E249" s="2206"/>
      <c r="F249" s="2385" t="str">
        <f>INDEX(PT_DIFFERENTIATION_VTAR,MATCH(A249,PT_DIFFERENTIATION_VTAR_ID,0))</f>
        <v>Плата за подключение (технологическое присоединение) к системе теплоснабжения (индивидуальная)</v>
      </c>
      <c r="G249" s="2429" t="str">
        <f>INDEX(PT_DIFFERENTIATION_NTAR,MATCH(B249,PT_DIFFERENTIATION_NTAR_ID,0))</f>
        <v/>
      </c>
      <c r="H249" s="1991"/>
      <c r="I249" s="1741"/>
      <c r="J249" s="1775"/>
      <c r="K249" s="1780"/>
      <c r="L249" s="1991" t="s">
        <v>315</v>
      </c>
      <c r="M249" s="343"/>
      <c r="N249" s="336"/>
      <c r="O249" s="1626"/>
      <c r="P249" s="1626"/>
      <c r="AH249" s="1633">
        <v>0</v>
      </c>
    </row>
    <row s="1637" customFormat="1" customHeight="1" ht="18.75" hidden="1">
      <c r="A250" s="1782"/>
      <c r="B250" s="1782"/>
      <c r="C250" s="371" t="s">
        <v>1153</v>
      </c>
      <c r="D250" s="2464"/>
      <c r="E250" s="2206"/>
      <c r="F250" s="2385"/>
      <c r="G250" s="2429"/>
      <c r="H250" s="1502"/>
      <c r="I250" s="653" t="s">
        <v>1152</v>
      </c>
      <c r="J250" s="573"/>
      <c r="K250" s="1502"/>
      <c r="L250" s="216"/>
      <c r="M250" s="343"/>
      <c r="N250" s="336"/>
      <c r="O250" s="1626"/>
      <c r="P250" s="1626"/>
      <c r="AH250" s="1633">
        <v>0</v>
      </c>
    </row>
    <row s="1637" customFormat="1" customHeight="1" ht="0.75" hidden="1">
      <c r="A251" s="1782"/>
      <c r="B251" s="1782"/>
      <c r="C251" s="371" t="s">
        <v>1162</v>
      </c>
      <c r="D251" s="2464"/>
      <c r="E251" s="2206"/>
      <c r="F251" s="2385"/>
      <c r="G251" s="402"/>
      <c r="H251" s="1502"/>
      <c r="I251" s="653"/>
      <c r="J251" s="573"/>
      <c r="K251" s="1502"/>
      <c r="L251" s="216"/>
      <c r="M251" s="343"/>
      <c r="N251" s="336"/>
      <c r="O251" s="1626"/>
      <c r="P251" s="1626"/>
      <c r="AH251" s="1633">
        <v>0</v>
      </c>
    </row>
    <row s="1637" customFormat="1" customHeight="1" ht="18.75" hidden="1">
      <c r="A252" s="1782" t="s">
        <v>234</v>
      </c>
      <c r="B252" s="1782" t="s">
        <v>235</v>
      </c>
      <c r="C252" s="371"/>
      <c r="D252" s="2464"/>
      <c r="E252" s="2206"/>
      <c r="F252" s="2385" t="str">
        <f>INDEX(PT_DIFFERENTIATION_VTAR,MATCH(A252,PT_DIFFERENTIATION_VTAR_ID,0))</f>
        <v>Тариф на питьевую воду (питьевое водоснабжение)</v>
      </c>
      <c r="G252" s="2429" t="str">
        <f>INDEX(PT_DIFFERENTIATION_NTAR,MATCH(B252,PT_DIFFERENTIATION_NTAR_ID,0))</f>
        <v/>
      </c>
      <c r="H252" s="1864"/>
      <c r="I252" s="1741"/>
      <c r="J252" s="1775"/>
      <c r="K252" s="1780"/>
      <c r="L252" s="1864" t="s">
        <v>315</v>
      </c>
      <c r="M252" s="343"/>
      <c r="N252" s="336"/>
      <c r="O252" s="1626"/>
      <c r="P252" s="1626"/>
      <c r="AH252" s="1633">
        <v>0</v>
      </c>
    </row>
    <row s="1637" customFormat="1" customHeight="1" ht="18.75" hidden="1">
      <c r="A253" s="1782"/>
      <c r="B253" s="1782"/>
      <c r="C253" s="371" t="s">
        <v>1153</v>
      </c>
      <c r="D253" s="2464"/>
      <c r="E253" s="2206"/>
      <c r="F253" s="2385"/>
      <c r="G253" s="2429"/>
      <c r="H253" s="1502"/>
      <c r="I253" s="653" t="s">
        <v>1152</v>
      </c>
      <c r="J253" s="573"/>
      <c r="K253" s="1502"/>
      <c r="L253" s="216"/>
      <c r="M253" s="343"/>
      <c r="N253" s="336"/>
      <c r="O253" s="1626"/>
      <c r="P253" s="1626"/>
      <c r="AH253" s="1633">
        <v>0</v>
      </c>
    </row>
    <row s="1637" customFormat="1" customHeight="1" ht="0.75" hidden="1">
      <c r="A254" s="1782"/>
      <c r="B254" s="1782"/>
      <c r="C254" s="371" t="s">
        <v>1162</v>
      </c>
      <c r="D254" s="2464"/>
      <c r="E254" s="2206"/>
      <c r="F254" s="2385"/>
      <c r="G254" s="402"/>
      <c r="H254" s="1502"/>
      <c r="I254" s="653"/>
      <c r="J254" s="573"/>
      <c r="K254" s="1502"/>
      <c r="L254" s="216"/>
      <c r="M254" s="343"/>
      <c r="N254" s="336"/>
      <c r="O254" s="1626"/>
      <c r="P254" s="1626"/>
      <c r="AH254" s="1633">
        <v>0</v>
      </c>
    </row>
    <row s="1637" customFormat="1" customHeight="1" ht="18.75" hidden="1">
      <c r="A255" s="1782" t="s">
        <v>239</v>
      </c>
      <c r="B255" s="1782" t="s">
        <v>240</v>
      </c>
      <c r="C255" s="371"/>
      <c r="D255" s="2464"/>
      <c r="E255" s="2206"/>
      <c r="F255" s="2385" t="str">
        <f>INDEX(PT_DIFFERENTIATION_VTAR,MATCH(A255,PT_DIFFERENTIATION_VTAR_ID,0))</f>
        <v>Тариф на техническую воду</v>
      </c>
      <c r="G255" s="2429" t="str">
        <f>INDEX(PT_DIFFERENTIATION_NTAR,MATCH(B255,PT_DIFFERENTIATION_NTAR_ID,0))</f>
        <v/>
      </c>
      <c r="H255" s="1864"/>
      <c r="I255" s="1741"/>
      <c r="J255" s="1775"/>
      <c r="K255" s="1780"/>
      <c r="L255" s="1864" t="s">
        <v>315</v>
      </c>
      <c r="M255" s="343"/>
      <c r="N255" s="336"/>
      <c r="O255" s="1626"/>
      <c r="P255" s="1626"/>
      <c r="AH255" s="1633">
        <v>0</v>
      </c>
    </row>
    <row s="1637" customFormat="1" customHeight="1" ht="18.75" hidden="1">
      <c r="A256" s="1782"/>
      <c r="B256" s="1782"/>
      <c r="C256" s="371" t="s">
        <v>1153</v>
      </c>
      <c r="D256" s="2464"/>
      <c r="E256" s="2206"/>
      <c r="F256" s="2385"/>
      <c r="G256" s="2429"/>
      <c r="H256" s="1502"/>
      <c r="I256" s="653" t="s">
        <v>1152</v>
      </c>
      <c r="J256" s="573"/>
      <c r="K256" s="1502"/>
      <c r="L256" s="216"/>
      <c r="M256" s="343"/>
      <c r="N256" s="336"/>
      <c r="O256" s="1626"/>
      <c r="P256" s="1626"/>
      <c r="AH256" s="1633">
        <v>0</v>
      </c>
    </row>
    <row s="1637" customFormat="1" customHeight="1" ht="0.75" hidden="1">
      <c r="A257" s="1782"/>
      <c r="B257" s="1782"/>
      <c r="C257" s="371" t="s">
        <v>1162</v>
      </c>
      <c r="D257" s="2464"/>
      <c r="E257" s="2206"/>
      <c r="F257" s="2385"/>
      <c r="G257" s="402"/>
      <c r="H257" s="1502"/>
      <c r="I257" s="653"/>
      <c r="J257" s="573"/>
      <c r="K257" s="1502"/>
      <c r="L257" s="216"/>
      <c r="M257" s="343"/>
      <c r="N257" s="336"/>
      <c r="O257" s="1626"/>
      <c r="P257" s="1626"/>
      <c r="AH257" s="1633">
        <v>0</v>
      </c>
    </row>
    <row s="1637" customFormat="1" customHeight="1" ht="18.75" hidden="1">
      <c r="A258" s="1782" t="s">
        <v>244</v>
      </c>
      <c r="B258" s="1782" t="s">
        <v>245</v>
      </c>
      <c r="C258" s="371"/>
      <c r="D258" s="2464"/>
      <c r="E258" s="2206"/>
      <c r="F258" s="2385" t="str">
        <f>INDEX(PT_DIFFERENTIATION_VTAR,MATCH(A258,PT_DIFFERENTIATION_VTAR_ID,0))</f>
        <v>Тариф на транспортировку воды</v>
      </c>
      <c r="G258" s="2429" t="str">
        <f>INDEX(PT_DIFFERENTIATION_NTAR,MATCH(B258,PT_DIFFERENTIATION_NTAR_ID,0))</f>
        <v/>
      </c>
      <c r="H258" s="1864"/>
      <c r="I258" s="1741"/>
      <c r="J258" s="1775"/>
      <c r="K258" s="1780"/>
      <c r="L258" s="1864" t="s">
        <v>315</v>
      </c>
      <c r="M258" s="343"/>
      <c r="N258" s="336"/>
      <c r="O258" s="1626"/>
      <c r="P258" s="1626"/>
      <c r="AH258" s="1633">
        <v>0</v>
      </c>
    </row>
    <row s="1637" customFormat="1" customHeight="1" ht="18.75" hidden="1">
      <c r="A259" s="1782"/>
      <c r="B259" s="1782"/>
      <c r="C259" s="371" t="s">
        <v>1153</v>
      </c>
      <c r="D259" s="2464"/>
      <c r="E259" s="2206"/>
      <c r="F259" s="2385"/>
      <c r="G259" s="2429"/>
      <c r="H259" s="1502"/>
      <c r="I259" s="653" t="s">
        <v>1152</v>
      </c>
      <c r="J259" s="573"/>
      <c r="K259" s="1502"/>
      <c r="L259" s="216"/>
      <c r="M259" s="343"/>
      <c r="N259" s="336"/>
      <c r="O259" s="1626"/>
      <c r="P259" s="1626"/>
      <c r="AH259" s="1633">
        <v>0</v>
      </c>
    </row>
    <row s="1637" customFormat="1" customHeight="1" ht="0.75" hidden="1">
      <c r="A260" s="1782"/>
      <c r="B260" s="1782"/>
      <c r="C260" s="371" t="s">
        <v>1162</v>
      </c>
      <c r="D260" s="2464"/>
      <c r="E260" s="2206"/>
      <c r="F260" s="2385"/>
      <c r="G260" s="402"/>
      <c r="H260" s="1502"/>
      <c r="I260" s="653"/>
      <c r="J260" s="573"/>
      <c r="K260" s="1502"/>
      <c r="L260" s="216"/>
      <c r="M260" s="343"/>
      <c r="N260" s="336"/>
      <c r="O260" s="1626"/>
      <c r="P260" s="1626"/>
      <c r="AH260" s="1633">
        <v>0</v>
      </c>
    </row>
    <row s="1637" customFormat="1" customHeight="1" ht="18.75" hidden="1">
      <c r="A261" s="1782" t="s">
        <v>249</v>
      </c>
      <c r="B261" s="1782" t="s">
        <v>250</v>
      </c>
      <c r="C261" s="371"/>
      <c r="D261" s="2464"/>
      <c r="E261" s="2206"/>
      <c r="F261" s="2385" t="str">
        <f>INDEX(PT_DIFFERENTIATION_VTAR,MATCH(A261,PT_DIFFERENTIATION_VTAR_ID,0))</f>
        <v>Тариф на подвоз воды</v>
      </c>
      <c r="G261" s="2429" t="str">
        <f>INDEX(PT_DIFFERENTIATION_NTAR,MATCH(B261,PT_DIFFERENTIATION_NTAR_ID,0))</f>
        <v/>
      </c>
      <c r="H261" s="1864"/>
      <c r="I261" s="1741"/>
      <c r="J261" s="1775"/>
      <c r="K261" s="1780"/>
      <c r="L261" s="1864" t="s">
        <v>315</v>
      </c>
      <c r="M261" s="343"/>
      <c r="N261" s="336"/>
      <c r="O261" s="1626"/>
      <c r="P261" s="1626"/>
      <c r="AH261" s="1633">
        <v>0</v>
      </c>
    </row>
    <row s="1637" customFormat="1" customHeight="1" ht="18.75" hidden="1">
      <c r="A262" s="1782"/>
      <c r="B262" s="1782"/>
      <c r="C262" s="371" t="s">
        <v>1153</v>
      </c>
      <c r="D262" s="2464"/>
      <c r="E262" s="2206"/>
      <c r="F262" s="2385"/>
      <c r="G262" s="2429"/>
      <c r="H262" s="1502"/>
      <c r="I262" s="653" t="s">
        <v>1152</v>
      </c>
      <c r="J262" s="573"/>
      <c r="K262" s="1502"/>
      <c r="L262" s="216"/>
      <c r="M262" s="343"/>
      <c r="N262" s="336"/>
      <c r="O262" s="1626"/>
      <c r="P262" s="1626"/>
      <c r="AH262" s="1633">
        <v>0</v>
      </c>
    </row>
    <row s="1637" customFormat="1" customHeight="1" ht="0.75" hidden="1">
      <c r="A263" s="1782"/>
      <c r="B263" s="1782"/>
      <c r="C263" s="371" t="s">
        <v>1162</v>
      </c>
      <c r="D263" s="2464"/>
      <c r="E263" s="2206"/>
      <c r="F263" s="2385"/>
      <c r="G263" s="402"/>
      <c r="H263" s="1502"/>
      <c r="I263" s="653"/>
      <c r="J263" s="573"/>
      <c r="K263" s="1502"/>
      <c r="L263" s="216"/>
      <c r="M263" s="343"/>
      <c r="N263" s="336"/>
      <c r="O263" s="1626"/>
      <c r="P263" s="1626"/>
      <c r="AH263" s="1633">
        <v>0</v>
      </c>
    </row>
    <row s="1637" customFormat="1" customHeight="1" ht="18.75" hidden="1">
      <c r="A264" s="1782" t="s">
        <v>254</v>
      </c>
      <c r="B264" s="1782" t="s">
        <v>255</v>
      </c>
      <c r="C264" s="371"/>
      <c r="D264" s="2464"/>
      <c r="E264" s="2206"/>
      <c r="F264" s="2385" t="str">
        <f>INDEX(PT_DIFFERENTIATION_VTAR,MATCH(A264,PT_DIFFERENTIATION_VTAR_ID,0))</f>
        <v>Тариф на подключение (технологическое присоединение) к централизованной системе холодного водоснабжения</v>
      </c>
      <c r="G264" s="2429" t="str">
        <f>INDEX(PT_DIFFERENTIATION_NTAR,MATCH(B264,PT_DIFFERENTIATION_NTAR_ID,0))</f>
        <v/>
      </c>
      <c r="H264" s="1864"/>
      <c r="I264" s="1741"/>
      <c r="J264" s="1775"/>
      <c r="K264" s="1780"/>
      <c r="L264" s="1864" t="s">
        <v>315</v>
      </c>
      <c r="M264" s="343"/>
      <c r="N264" s="336"/>
      <c r="O264" s="1626"/>
      <c r="P264" s="1626"/>
      <c r="AH264" s="1633">
        <v>0</v>
      </c>
    </row>
    <row s="1637" customFormat="1" customHeight="1" ht="18.75" hidden="1">
      <c r="A265" s="1782"/>
      <c r="B265" s="1782"/>
      <c r="C265" s="371" t="s">
        <v>1153</v>
      </c>
      <c r="D265" s="2464"/>
      <c r="E265" s="2206"/>
      <c r="F265" s="2385"/>
      <c r="G265" s="2429"/>
      <c r="H265" s="1502"/>
      <c r="I265" s="653" t="s">
        <v>1152</v>
      </c>
      <c r="J265" s="573"/>
      <c r="K265" s="1502"/>
      <c r="L265" s="216"/>
      <c r="M265" s="343"/>
      <c r="N265" s="336"/>
      <c r="O265" s="1626"/>
      <c r="P265" s="1626"/>
      <c r="AH265" s="1633">
        <v>0</v>
      </c>
    </row>
    <row s="1637" customFormat="1" customHeight="1" ht="0.75" hidden="1">
      <c r="A266" s="1782"/>
      <c r="B266" s="1782"/>
      <c r="C266" s="371" t="s">
        <v>1162</v>
      </c>
      <c r="D266" s="2464"/>
      <c r="E266" s="2206"/>
      <c r="F266" s="2385"/>
      <c r="G266" s="402"/>
      <c r="H266" s="1502"/>
      <c r="I266" s="653"/>
      <c r="J266" s="573"/>
      <c r="K266" s="1502"/>
      <c r="L266" s="216"/>
      <c r="M266" s="343"/>
      <c r="N266" s="336"/>
      <c r="O266" s="1626"/>
      <c r="P266" s="1626"/>
      <c r="AH266" s="1633">
        <v>0</v>
      </c>
    </row>
    <row s="1637" customFormat="1" customHeight="1" ht="18.75" hidden="1">
      <c r="A267" s="1782" t="s">
        <v>259</v>
      </c>
      <c r="B267" s="1782" t="s">
        <v>260</v>
      </c>
      <c r="C267" s="371"/>
      <c r="D267" s="2464"/>
      <c r="E267" s="2206"/>
      <c r="F267" s="2385" t="str">
        <f>INDEX(PT_DIFFERENTIATION_VTAR,MATCH(A267,PT_DIFFERENTIATION_VTAR_ID,0))</f>
        <v>Тариф на горячую воду (горячее водоснабжение)</v>
      </c>
      <c r="G267" s="2429" t="str">
        <f>INDEX(PT_DIFFERENTIATION_NTAR,MATCH(B267,PT_DIFFERENTIATION_NTAR_ID,0))</f>
        <v/>
      </c>
      <c r="H267" s="1864"/>
      <c r="I267" s="1741"/>
      <c r="J267" s="1775"/>
      <c r="K267" s="1780"/>
      <c r="L267" s="1864" t="s">
        <v>315</v>
      </c>
      <c r="M267" s="343"/>
      <c r="N267" s="336"/>
      <c r="O267" s="1626"/>
      <c r="P267" s="1626"/>
      <c r="AH267" s="1633">
        <v>0</v>
      </c>
    </row>
    <row s="1637" customFormat="1" customHeight="1" ht="18.75" hidden="1">
      <c r="A268" s="1782"/>
      <c r="B268" s="1782"/>
      <c r="C268" s="371" t="s">
        <v>1153</v>
      </c>
      <c r="D268" s="2464"/>
      <c r="E268" s="2206"/>
      <c r="F268" s="2385"/>
      <c r="G268" s="2429"/>
      <c r="H268" s="1502"/>
      <c r="I268" s="653" t="s">
        <v>1152</v>
      </c>
      <c r="J268" s="573"/>
      <c r="K268" s="1502"/>
      <c r="L268" s="216"/>
      <c r="M268" s="343"/>
      <c r="N268" s="336"/>
      <c r="O268" s="1626"/>
      <c r="P268" s="1626"/>
      <c r="AH268" s="1633">
        <v>0</v>
      </c>
    </row>
    <row s="1637" customFormat="1" customHeight="1" ht="0.75" hidden="1">
      <c r="A269" s="1782"/>
      <c r="B269" s="1782"/>
      <c r="C269" s="371" t="s">
        <v>1162</v>
      </c>
      <c r="D269" s="2464"/>
      <c r="E269" s="2206"/>
      <c r="F269" s="2385"/>
      <c r="G269" s="402"/>
      <c r="H269" s="1502"/>
      <c r="I269" s="653"/>
      <c r="J269" s="573"/>
      <c r="K269" s="1502"/>
      <c r="L269" s="216"/>
      <c r="M269" s="343"/>
      <c r="N269" s="336"/>
      <c r="O269" s="1626"/>
      <c r="P269" s="1626"/>
      <c r="AH269" s="1633">
        <v>0</v>
      </c>
    </row>
    <row s="1637" customFormat="1" customHeight="1" ht="18.75" hidden="1">
      <c r="A270" s="1782" t="s">
        <v>264</v>
      </c>
      <c r="B270" s="1782" t="s">
        <v>265</v>
      </c>
      <c r="C270" s="371"/>
      <c r="D270" s="2464"/>
      <c r="E270" s="2206"/>
      <c r="F270" s="2385" t="str">
        <f>INDEX(PT_DIFFERENTIATION_VTAR,MATCH(A270,PT_DIFFERENTIATION_VTAR_ID,0))</f>
        <v>Тариф на транспортировку горячей воды</v>
      </c>
      <c r="G270" s="2429" t="str">
        <f>INDEX(PT_DIFFERENTIATION_NTAR,MATCH(B270,PT_DIFFERENTIATION_NTAR_ID,0))</f>
        <v/>
      </c>
      <c r="H270" s="1864"/>
      <c r="I270" s="1741"/>
      <c r="J270" s="1775"/>
      <c r="K270" s="1780"/>
      <c r="L270" s="1864" t="s">
        <v>315</v>
      </c>
      <c r="M270" s="343"/>
      <c r="N270" s="336"/>
      <c r="O270" s="1626"/>
      <c r="P270" s="1626"/>
      <c r="AH270" s="1633">
        <v>0</v>
      </c>
    </row>
    <row s="1637" customFormat="1" customHeight="1" ht="18.75" hidden="1">
      <c r="A271" s="1782"/>
      <c r="B271" s="1782"/>
      <c r="C271" s="371" t="s">
        <v>1153</v>
      </c>
      <c r="D271" s="2464"/>
      <c r="E271" s="2206"/>
      <c r="F271" s="2385"/>
      <c r="G271" s="2429"/>
      <c r="H271" s="1502"/>
      <c r="I271" s="653" t="s">
        <v>1152</v>
      </c>
      <c r="J271" s="573"/>
      <c r="K271" s="1502"/>
      <c r="L271" s="216"/>
      <c r="M271" s="343"/>
      <c r="N271" s="336"/>
      <c r="O271" s="1626"/>
      <c r="P271" s="1626"/>
      <c r="AH271" s="1633">
        <v>0</v>
      </c>
    </row>
    <row s="1637" customFormat="1" customHeight="1" ht="0.75" hidden="1">
      <c r="A272" s="1782"/>
      <c r="B272" s="1782"/>
      <c r="C272" s="371" t="s">
        <v>1162</v>
      </c>
      <c r="D272" s="2464"/>
      <c r="E272" s="2206"/>
      <c r="F272" s="2385"/>
      <c r="G272" s="402"/>
      <c r="H272" s="1502"/>
      <c r="I272" s="653"/>
      <c r="J272" s="573"/>
      <c r="K272" s="1502"/>
      <c r="L272" s="216"/>
      <c r="M272" s="343"/>
      <c r="N272" s="336"/>
      <c r="O272" s="1626"/>
      <c r="P272" s="1626"/>
      <c r="AH272" s="1633">
        <v>0</v>
      </c>
    </row>
    <row s="1637" customFormat="1" customHeight="1" ht="18.75" hidden="1">
      <c r="A273" s="1782" t="s">
        <v>269</v>
      </c>
      <c r="B273" s="1782" t="s">
        <v>270</v>
      </c>
      <c r="C273" s="371"/>
      <c r="D273" s="2464"/>
      <c r="E273" s="2206"/>
      <c r="F273" s="2385" t="str">
        <f>INDEX(PT_DIFFERENTIATION_VTAR,MATCH(A273,PT_DIFFERENTIATION_VTAR_ID,0))</f>
        <v>Тариф на подключение (технологическое присоединение) к централизованной системе горячего водоснабжения</v>
      </c>
      <c r="G273" s="2429" t="str">
        <f>INDEX(PT_DIFFERENTIATION_NTAR,MATCH(B273,PT_DIFFERENTIATION_NTAR_ID,0))</f>
        <v/>
      </c>
      <c r="H273" s="1864"/>
      <c r="I273" s="1741"/>
      <c r="J273" s="1775"/>
      <c r="K273" s="1780"/>
      <c r="L273" s="1864" t="s">
        <v>315</v>
      </c>
      <c r="M273" s="343"/>
      <c r="N273" s="336"/>
      <c r="O273" s="1626"/>
      <c r="P273" s="1626"/>
      <c r="AH273" s="1633">
        <v>0</v>
      </c>
    </row>
    <row s="1637" customFormat="1" customHeight="1" ht="18.75" hidden="1">
      <c r="A274" s="1782"/>
      <c r="B274" s="1782"/>
      <c r="C274" s="371" t="s">
        <v>1153</v>
      </c>
      <c r="D274" s="2464"/>
      <c r="E274" s="2206"/>
      <c r="F274" s="2385"/>
      <c r="G274" s="2429"/>
      <c r="H274" s="1502"/>
      <c r="I274" s="653" t="s">
        <v>1152</v>
      </c>
      <c r="J274" s="573"/>
      <c r="K274" s="1502"/>
      <c r="L274" s="216"/>
      <c r="M274" s="343"/>
      <c r="N274" s="336"/>
      <c r="O274" s="1626"/>
      <c r="P274" s="1626"/>
      <c r="AH274" s="1633">
        <v>0</v>
      </c>
    </row>
    <row s="1637" customFormat="1" customHeight="1" ht="0.75" hidden="1">
      <c r="A275" s="1782"/>
      <c r="B275" s="1782"/>
      <c r="C275" s="371" t="s">
        <v>1162</v>
      </c>
      <c r="D275" s="2464"/>
      <c r="E275" s="2206"/>
      <c r="F275" s="2385"/>
      <c r="G275" s="402"/>
      <c r="H275" s="1502"/>
      <c r="I275" s="653"/>
      <c r="J275" s="573"/>
      <c r="K275" s="1502"/>
      <c r="L275" s="216"/>
      <c r="M275" s="343"/>
      <c r="N275" s="336"/>
      <c r="O275" s="1626"/>
      <c r="P275" s="1626"/>
      <c r="AH275" s="1633">
        <v>0</v>
      </c>
    </row>
    <row s="1637" customFormat="1" customHeight="1" ht="18.75" hidden="1">
      <c r="A276" s="1782" t="s">
        <v>274</v>
      </c>
      <c r="B276" s="1782" t="s">
        <v>275</v>
      </c>
      <c r="C276" s="371"/>
      <c r="D276" s="2464"/>
      <c r="E276" s="2206"/>
      <c r="F276" s="2385" t="str">
        <f>INDEX(PT_DIFFERENTIATION_VTAR,MATCH(A276,PT_DIFFERENTIATION_VTAR_ID,0))</f>
        <v>Тариф на водоотведение</v>
      </c>
      <c r="G276" s="2429" t="str">
        <f>INDEX(PT_DIFFERENTIATION_NTAR,MATCH(B276,PT_DIFFERENTIATION_NTAR_ID,0))</f>
        <v/>
      </c>
      <c r="H276" s="1864"/>
      <c r="I276" s="1741"/>
      <c r="J276" s="1775"/>
      <c r="K276" s="1780"/>
      <c r="L276" s="1864" t="s">
        <v>315</v>
      </c>
      <c r="M276" s="343"/>
      <c r="N276" s="336"/>
      <c r="O276" s="1626"/>
      <c r="P276" s="1626"/>
      <c r="AH276" s="1633">
        <v>0</v>
      </c>
    </row>
    <row s="1637" customFormat="1" customHeight="1" ht="18.75" hidden="1">
      <c r="A277" s="1782"/>
      <c r="B277" s="1782"/>
      <c r="C277" s="371" t="s">
        <v>1153</v>
      </c>
      <c r="D277" s="2464"/>
      <c r="E277" s="2206"/>
      <c r="F277" s="2385"/>
      <c r="G277" s="2429"/>
      <c r="H277" s="1502"/>
      <c r="I277" s="653" t="s">
        <v>1152</v>
      </c>
      <c r="J277" s="573"/>
      <c r="K277" s="1502"/>
      <c r="L277" s="216"/>
      <c r="M277" s="343"/>
      <c r="N277" s="336"/>
      <c r="O277" s="1626"/>
      <c r="P277" s="1626"/>
      <c r="AH277" s="1633">
        <v>0</v>
      </c>
    </row>
    <row s="1637" customFormat="1" customHeight="1" ht="0.75" hidden="1">
      <c r="A278" s="1782"/>
      <c r="B278" s="1782"/>
      <c r="C278" s="371" t="s">
        <v>1162</v>
      </c>
      <c r="D278" s="2464"/>
      <c r="E278" s="2206"/>
      <c r="F278" s="2385"/>
      <c r="G278" s="402"/>
      <c r="H278" s="1502"/>
      <c r="I278" s="653"/>
      <c r="J278" s="573"/>
      <c r="K278" s="1502"/>
      <c r="L278" s="216"/>
      <c r="M278" s="343"/>
      <c r="N278" s="336"/>
      <c r="O278" s="1626"/>
      <c r="P278" s="1626"/>
      <c r="AH278" s="1633">
        <v>0</v>
      </c>
    </row>
    <row s="1637" customFormat="1" customHeight="1" ht="18.75" hidden="1">
      <c r="A279" s="1782" t="s">
        <v>279</v>
      </c>
      <c r="B279" s="1782" t="s">
        <v>280</v>
      </c>
      <c r="C279" s="371"/>
      <c r="D279" s="2464"/>
      <c r="E279" s="2206"/>
      <c r="F279" s="2385" t="str">
        <f>INDEX(PT_DIFFERENTIATION_VTAR,MATCH(A279,PT_DIFFERENTIATION_VTAR_ID,0))</f>
        <v>Тариф на транспортировку сточных вод</v>
      </c>
      <c r="G279" s="2429" t="str">
        <f>INDEX(PT_DIFFERENTIATION_NTAR,MATCH(B279,PT_DIFFERENTIATION_NTAR_ID,0))</f>
        <v/>
      </c>
      <c r="H279" s="1864"/>
      <c r="I279" s="1741"/>
      <c r="J279" s="1775"/>
      <c r="K279" s="1780"/>
      <c r="L279" s="1864" t="s">
        <v>315</v>
      </c>
      <c r="M279" s="343"/>
      <c r="N279" s="336"/>
      <c r="O279" s="1626"/>
      <c r="P279" s="1626"/>
      <c r="AH279" s="1633">
        <v>0</v>
      </c>
    </row>
    <row s="1637" customFormat="1" customHeight="1" ht="18.75" hidden="1">
      <c r="A280" s="1782"/>
      <c r="B280" s="1782"/>
      <c r="C280" s="371" t="s">
        <v>1153</v>
      </c>
      <c r="D280" s="2464"/>
      <c r="E280" s="2206"/>
      <c r="F280" s="2385"/>
      <c r="G280" s="2429"/>
      <c r="H280" s="1502"/>
      <c r="I280" s="653" t="s">
        <v>1152</v>
      </c>
      <c r="J280" s="573"/>
      <c r="K280" s="1502"/>
      <c r="L280" s="216"/>
      <c r="M280" s="343"/>
      <c r="N280" s="336"/>
      <c r="O280" s="1626"/>
      <c r="P280" s="1626"/>
      <c r="AH280" s="1633">
        <v>0</v>
      </c>
    </row>
    <row s="1637" customFormat="1" customHeight="1" ht="0.75" hidden="1">
      <c r="A281" s="1782"/>
      <c r="B281" s="1782"/>
      <c r="C281" s="371" t="s">
        <v>1162</v>
      </c>
      <c r="D281" s="2464"/>
      <c r="E281" s="2206"/>
      <c r="F281" s="2385"/>
      <c r="G281" s="402"/>
      <c r="H281" s="1502"/>
      <c r="I281" s="653"/>
      <c r="J281" s="573"/>
      <c r="K281" s="1502"/>
      <c r="L281" s="216"/>
      <c r="M281" s="343"/>
      <c r="N281" s="336"/>
      <c r="O281" s="1626"/>
      <c r="P281" s="1626"/>
      <c r="AH281" s="1633">
        <v>0</v>
      </c>
    </row>
    <row s="1637" customFormat="1" customHeight="1" ht="18.75" hidden="1">
      <c r="A282" s="1782" t="s">
        <v>284</v>
      </c>
      <c r="B282" s="1782" t="s">
        <v>285</v>
      </c>
      <c r="C282" s="371"/>
      <c r="D282" s="2464"/>
      <c r="E282" s="2206"/>
      <c r="F282" s="2385" t="str">
        <f>INDEX(PT_DIFFERENTIATION_VTAR,MATCH(A282,PT_DIFFERENTIATION_VTAR_ID,0))</f>
        <v>Тариф на подключение (технологическое присоединение) к централизованной системе водоотведения</v>
      </c>
      <c r="G282" s="2429" t="str">
        <f>INDEX(PT_DIFFERENTIATION_NTAR,MATCH(B282,PT_DIFFERENTIATION_NTAR_ID,0))</f>
        <v/>
      </c>
      <c r="H282" s="1864"/>
      <c r="I282" s="1741"/>
      <c r="J282" s="1775"/>
      <c r="K282" s="1780"/>
      <c r="L282" s="1864" t="s">
        <v>315</v>
      </c>
      <c r="M282" s="343"/>
      <c r="N282" s="336"/>
      <c r="O282" s="1626"/>
      <c r="P282" s="1626"/>
      <c r="AH282" s="1633">
        <v>0</v>
      </c>
    </row>
    <row s="1637" customFormat="1" customHeight="1" ht="18.75" hidden="1">
      <c r="A283" s="1782"/>
      <c r="B283" s="1782"/>
      <c r="C283" s="371" t="s">
        <v>1153</v>
      </c>
      <c r="D283" s="2464"/>
      <c r="E283" s="2206"/>
      <c r="F283" s="2385"/>
      <c r="G283" s="2429"/>
      <c r="H283" s="1502"/>
      <c r="I283" s="653" t="s">
        <v>1152</v>
      </c>
      <c r="J283" s="573"/>
      <c r="K283" s="1502"/>
      <c r="L283" s="216"/>
      <c r="M283" s="343"/>
      <c r="N283" s="336"/>
      <c r="O283" s="1626"/>
      <c r="P283" s="1626"/>
      <c r="AH283" s="1633">
        <v>0</v>
      </c>
    </row>
    <row s="1637" customFormat="1" customHeight="1" ht="0.75">
      <c r="A284" s="1782"/>
      <c r="B284" s="1782"/>
      <c r="C284" s="371" t="s">
        <v>1162</v>
      </c>
      <c r="D284" s="2464"/>
      <c r="E284" s="2206"/>
      <c r="F284" s="2385"/>
      <c r="G284" s="402"/>
      <c r="H284" s="1502"/>
      <c r="I284" s="653"/>
      <c r="J284" s="573"/>
      <c r="K284" s="1502"/>
      <c r="L284" s="216"/>
      <c r="M284" s="343"/>
      <c r="N284" s="336"/>
      <c r="O284" s="1626"/>
      <c r="P284" s="1626"/>
      <c r="AH284" s="1633">
        <v>1</v>
      </c>
    </row>
    <row customHeight="1" ht="27">
      <c r="A285" s="1782"/>
      <c r="B285" s="1782"/>
      <c r="D285" s="378"/>
      <c r="E285" s="149" t="s">
        <v>94</v>
      </c>
      <c r="F285"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85" s="2462"/>
      <c r="H285" s="2462"/>
      <c r="I285" s="2462"/>
      <c r="J285" s="2462"/>
      <c r="K285" s="2462"/>
      <c r="L285" s="2462"/>
      <c r="M285" s="299"/>
      <c r="N285" s="336"/>
      <c r="AH285" s="376">
        <v>26</v>
      </c>
    </row>
    <row s="1637" customFormat="1" customHeight="1" ht="60.75" hidden="1">
      <c r="A286" s="1782" t="s">
        <v>157</v>
      </c>
      <c r="B286" s="1782" t="s">
        <v>158</v>
      </c>
      <c r="C286" s="371"/>
      <c r="D286" s="2464"/>
      <c r="E286" s="2206"/>
      <c r="F286" s="2385" t="str">
        <f>INDEX(PT_DIFFERENTIATION_VTAR,MATCH(A286,PT_DIFFERENTIATION_VTAR_ID,0))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86" s="2429" t="str">
        <f>INDEX(PT_DIFFERENTIATION_NTAR,MATCH(B286,PT_DIFFERENTIATION_NTAR_ID,0))</f>
        <v/>
      </c>
      <c r="H286" s="1864"/>
      <c r="I286" s="1741"/>
      <c r="J286" s="1775"/>
      <c r="K286" s="1780"/>
      <c r="L286" s="1864" t="s">
        <v>315</v>
      </c>
      <c r="M286"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86" s="336"/>
      <c r="O286" s="1626"/>
      <c r="P286" s="1626"/>
      <c r="AH286" s="1633">
        <v>0</v>
      </c>
    </row>
    <row s="1637" customFormat="1" customHeight="1" ht="18.75" hidden="1">
      <c r="A287" s="1782"/>
      <c r="B287" s="1782"/>
      <c r="C287" s="371" t="s">
        <v>1153</v>
      </c>
      <c r="D287" s="2464"/>
      <c r="E287" s="2206"/>
      <c r="F287" s="2385"/>
      <c r="G287" s="2429"/>
      <c r="H287" s="1502"/>
      <c r="I287" s="653" t="s">
        <v>1152</v>
      </c>
      <c r="J287" s="573"/>
      <c r="K287" s="1502"/>
      <c r="L287" s="216"/>
      <c r="M287" s="2172"/>
      <c r="N287" s="336"/>
      <c r="O287" s="1626"/>
      <c r="P287" s="1626"/>
      <c r="AH287" s="1633">
        <v>0</v>
      </c>
    </row>
    <row s="1637" customFormat="1" customHeight="1" ht="0.75" hidden="1">
      <c r="A288" s="1782"/>
      <c r="B288" s="1782"/>
      <c r="C288" s="371" t="s">
        <v>1162</v>
      </c>
      <c r="D288" s="2464"/>
      <c r="E288" s="2206"/>
      <c r="F288" s="2385"/>
      <c r="G288" s="402"/>
      <c r="H288" s="1502"/>
      <c r="I288" s="653"/>
      <c r="J288" s="573"/>
      <c r="K288" s="1502"/>
      <c r="L288" s="216"/>
      <c r="M288" s="2172"/>
      <c r="N288" s="336"/>
      <c r="O288" s="1626"/>
      <c r="P288" s="1626"/>
      <c r="AH288" s="1633">
        <v>0</v>
      </c>
    </row>
    <row s="1637" customFormat="1" customHeight="1" ht="45">
      <c r="A289" s="1782" t="s">
        <v>167</v>
      </c>
      <c r="B289" s="1782" t="s">
        <v>168</v>
      </c>
      <c r="C289" s="371"/>
      <c r="D289" s="2464"/>
      <c r="E289" s="2206"/>
      <c r="F289" s="2385" t="str">
        <f>INDEX(PT_DIFFERENTIATION_VTAR,MATCH(A289,PT_DIFFERENTIATION_VTAR_ID,0))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89" s="2429" t="str">
        <f>INDEX(PT_DIFFERENTIATION_NTAR,MATCH(B289,PT_DIFFERENTIATION_NTAR_ID,0))</f>
        <v>Тариф на тепловую энергию</v>
      </c>
      <c r="H289" s="1864"/>
      <c r="I289" s="1741" t="s">
        <v>1163</v>
      </c>
      <c r="J289" s="1775" t="s">
        <v>1164</v>
      </c>
      <c r="K289" s="1780">
        <v>0</v>
      </c>
      <c r="L289" s="1864" t="s">
        <v>315</v>
      </c>
      <c r="M289" s="2173"/>
      <c r="N289" s="336"/>
      <c r="O289" s="1626"/>
      <c r="P289" s="1626"/>
      <c r="AH289" s="1633">
        <v>0</v>
      </c>
    </row>
    <row s="1637" customFormat="1" customHeight="1" ht="56.25">
      <c r="A290" s="1825"/>
      <c r="B290" s="1825"/>
      <c r="C290" s="1689"/>
      <c r="D290" s="346"/>
      <c r="E290" s="1033"/>
      <c r="F290" s="1033"/>
      <c r="G290" s="1033"/>
      <c r="H290" s="2579" t="s">
        <v>454</v>
      </c>
      <c r="I290" s="1741" t="s">
        <v>1165</v>
      </c>
      <c r="J290" s="1775" t="s">
        <v>1166</v>
      </c>
      <c r="K290" s="1780">
        <v>0</v>
      </c>
      <c r="L290" s="2273" t="s">
        <v>315</v>
      </c>
      <c r="M290" s="2320"/>
      <c r="N290" s="620"/>
      <c r="O290" s="1626"/>
      <c r="P290" s="1626"/>
      <c r="Q290" s="1637"/>
      <c r="R290" s="1637"/>
      <c r="S290" s="1637"/>
      <c r="T290" s="1637"/>
      <c r="U290" s="1637"/>
      <c r="V290" s="1637"/>
      <c r="W290" s="1637"/>
      <c r="X290" s="1637"/>
      <c r="Y290" s="1637"/>
      <c r="Z290" s="1637"/>
      <c r="AA290" s="1637"/>
      <c r="AB290" s="1637"/>
      <c r="AC290" s="1637"/>
      <c r="AD290" s="1637"/>
      <c r="AE290" s="1637"/>
      <c r="AF290" s="1637"/>
      <c r="AG290" s="1637"/>
      <c r="AH290" s="1637">
        <v>0</v>
      </c>
    </row>
    <row s="1637" customFormat="1" customHeight="1" ht="56.25">
      <c r="A291" s="1825"/>
      <c r="B291" s="1825"/>
      <c r="C291" s="1689"/>
      <c r="D291" s="346"/>
      <c r="E291" s="1033"/>
      <c r="F291" s="1033"/>
      <c r="G291" s="1033"/>
      <c r="H291" s="2579" t="s">
        <v>454</v>
      </c>
      <c r="I291" s="1741" t="s">
        <v>1167</v>
      </c>
      <c r="J291" s="1775" t="s">
        <v>1168</v>
      </c>
      <c r="K291" s="1780">
        <v>1696.89</v>
      </c>
      <c r="L291" s="2273" t="s">
        <v>315</v>
      </c>
      <c r="M291" s="2320"/>
      <c r="N291" s="620"/>
      <c r="O291" s="1626"/>
      <c r="P291" s="1626"/>
      <c r="Q291" s="1637"/>
      <c r="R291" s="1637"/>
      <c r="S291" s="1637"/>
      <c r="T291" s="1637"/>
      <c r="U291" s="1637"/>
      <c r="V291" s="1637"/>
      <c r="W291" s="1637"/>
      <c r="X291" s="1637"/>
      <c r="Y291" s="1637"/>
      <c r="Z291" s="1637"/>
      <c r="AA291" s="1637"/>
      <c r="AB291" s="1637"/>
      <c r="AC291" s="1637"/>
      <c r="AD291" s="1637"/>
      <c r="AE291" s="1637"/>
      <c r="AF291" s="1637"/>
      <c r="AG291" s="1637"/>
      <c r="AH291" s="1637">
        <v>0</v>
      </c>
    </row>
    <row s="1637" customFormat="1" customHeight="1" ht="56.25">
      <c r="A292" s="1825"/>
      <c r="B292" s="1825"/>
      <c r="C292" s="1689"/>
      <c r="D292" s="346"/>
      <c r="E292" s="1033"/>
      <c r="F292" s="1033"/>
      <c r="G292" s="1033"/>
      <c r="H292" s="2579" t="s">
        <v>454</v>
      </c>
      <c r="I292" s="1741" t="s">
        <v>1169</v>
      </c>
      <c r="J292" s="1775" t="s">
        <v>1170</v>
      </c>
      <c r="K292" s="1780">
        <v>0</v>
      </c>
      <c r="L292" s="2273" t="s">
        <v>315</v>
      </c>
      <c r="M292" s="2320"/>
      <c r="N292" s="620"/>
      <c r="O292" s="1626"/>
      <c r="P292" s="1626"/>
      <c r="Q292" s="1637"/>
      <c r="R292" s="1637"/>
      <c r="S292" s="1637"/>
      <c r="T292" s="1637"/>
      <c r="U292" s="1637"/>
      <c r="V292" s="1637"/>
      <c r="W292" s="1637"/>
      <c r="X292" s="1637"/>
      <c r="Y292" s="1637"/>
      <c r="Z292" s="1637"/>
      <c r="AA292" s="1637"/>
      <c r="AB292" s="1637"/>
      <c r="AC292" s="1637"/>
      <c r="AD292" s="1637"/>
      <c r="AE292" s="1637"/>
      <c r="AF292" s="1637"/>
      <c r="AG292" s="1637"/>
      <c r="AH292" s="1637">
        <v>0</v>
      </c>
    </row>
    <row s="1637" customFormat="1" customHeight="1" ht="56.25">
      <c r="A293" s="1825"/>
      <c r="B293" s="1825"/>
      <c r="C293" s="1689"/>
      <c r="D293" s="346"/>
      <c r="E293" s="1033"/>
      <c r="F293" s="1033"/>
      <c r="G293" s="1033"/>
      <c r="H293" s="2579" t="s">
        <v>454</v>
      </c>
      <c r="I293" s="1741" t="s">
        <v>1171</v>
      </c>
      <c r="J293" s="1775" t="s">
        <v>1172</v>
      </c>
      <c r="K293" s="1780">
        <v>0</v>
      </c>
      <c r="L293" s="2273" t="s">
        <v>315</v>
      </c>
      <c r="M293" s="2320"/>
      <c r="N293" s="620"/>
      <c r="O293" s="1626"/>
      <c r="P293" s="1626"/>
      <c r="Q293" s="1637"/>
      <c r="R293" s="1637"/>
      <c r="S293" s="1637"/>
      <c r="T293" s="1637"/>
      <c r="U293" s="1637"/>
      <c r="V293" s="1637"/>
      <c r="W293" s="1637"/>
      <c r="X293" s="1637"/>
      <c r="Y293" s="1637"/>
      <c r="Z293" s="1637"/>
      <c r="AA293" s="1637"/>
      <c r="AB293" s="1637"/>
      <c r="AC293" s="1637"/>
      <c r="AD293" s="1637"/>
      <c r="AE293" s="1637"/>
      <c r="AF293" s="1637"/>
      <c r="AG293" s="1637"/>
      <c r="AH293" s="1637">
        <v>0</v>
      </c>
    </row>
    <row s="1637" customFormat="1" customHeight="1" ht="18.75">
      <c r="A294" s="1782"/>
      <c r="B294" s="1782"/>
      <c r="C294" s="371" t="s">
        <v>1153</v>
      </c>
      <c r="D294" s="2464"/>
      <c r="E294" s="2206"/>
      <c r="F294" s="2385"/>
      <c r="G294" s="2429"/>
      <c r="H294" s="1502"/>
      <c r="I294" s="653" t="s">
        <v>1152</v>
      </c>
      <c r="J294" s="573"/>
      <c r="K294" s="1502"/>
      <c r="L294" s="216"/>
      <c r="M294" s="1863"/>
      <c r="N294" s="336"/>
      <c r="O294" s="1626"/>
      <c r="P294" s="1626"/>
      <c r="AH294" s="1633">
        <v>0</v>
      </c>
    </row>
    <row s="1637" customFormat="1" customHeight="1" ht="0.75">
      <c r="A295" s="1782"/>
      <c r="B295" s="1782"/>
      <c r="C295" s="371" t="s">
        <v>1162</v>
      </c>
      <c r="D295" s="2464"/>
      <c r="E295" s="2206"/>
      <c r="F295" s="2385"/>
      <c r="G295" s="402"/>
      <c r="H295" s="1502"/>
      <c r="I295" s="653"/>
      <c r="J295" s="573"/>
      <c r="K295" s="1502"/>
      <c r="L295" s="216"/>
      <c r="M295" s="343"/>
      <c r="N295" s="336"/>
      <c r="O295" s="1626"/>
      <c r="P295" s="1626"/>
      <c r="AH295" s="1633">
        <v>0</v>
      </c>
    </row>
    <row s="1637" customFormat="1" customHeight="1" ht="45" hidden="1">
      <c r="A296" s="1782" t="s">
        <v>178</v>
      </c>
      <c r="B296" s="1782" t="s">
        <v>179</v>
      </c>
      <c r="C296" s="371"/>
      <c r="D296" s="2464"/>
      <c r="E296" s="2206"/>
      <c r="F296" s="2385" t="str">
        <f>INDEX(PT_DIFFERENTIATION_VTAR,MATCH(A296,PT_DIFFERENTIATION_VTAR_ID,0))</f>
        <v>Тарифы на теплоноситель, поставляемый теплоснабжающими организациями потребителям, другим теплоснабжающим организациям</v>
      </c>
      <c r="G296" s="2429" t="str">
        <f>INDEX(PT_DIFFERENTIATION_NTAR,MATCH(B296,PT_DIFFERENTIATION_NTAR_ID,0))</f>
        <v/>
      </c>
      <c r="H296" s="1864"/>
      <c r="I296" s="1741"/>
      <c r="J296" s="1775"/>
      <c r="K296" s="1780"/>
      <c r="L296" s="1864" t="s">
        <v>315</v>
      </c>
      <c r="M296" s="343"/>
      <c r="N296" s="336"/>
      <c r="O296" s="1626"/>
      <c r="P296" s="1626"/>
      <c r="AH296" s="1633">
        <v>0</v>
      </c>
    </row>
    <row s="1637" customFormat="1" customHeight="1" ht="18.75" hidden="1">
      <c r="A297" s="1782"/>
      <c r="B297" s="1782"/>
      <c r="C297" s="371" t="s">
        <v>1153</v>
      </c>
      <c r="D297" s="2464"/>
      <c r="E297" s="2206"/>
      <c r="F297" s="2385"/>
      <c r="G297" s="2429"/>
      <c r="H297" s="1502"/>
      <c r="I297" s="653" t="s">
        <v>1152</v>
      </c>
      <c r="J297" s="573"/>
      <c r="K297" s="1502"/>
      <c r="L297" s="216"/>
      <c r="M297" s="343"/>
      <c r="N297" s="336"/>
      <c r="O297" s="1626"/>
      <c r="P297" s="1626"/>
      <c r="AH297" s="1633">
        <v>0</v>
      </c>
    </row>
    <row s="1637" customFormat="1" customHeight="1" ht="0.75" hidden="1">
      <c r="A298" s="1782"/>
      <c r="B298" s="1782"/>
      <c r="C298" s="371" t="s">
        <v>1162</v>
      </c>
      <c r="D298" s="2464"/>
      <c r="E298" s="2206"/>
      <c r="F298" s="2385"/>
      <c r="G298" s="402"/>
      <c r="H298" s="1502"/>
      <c r="I298" s="653"/>
      <c r="J298" s="573"/>
      <c r="K298" s="1502"/>
      <c r="L298" s="216"/>
      <c r="M298" s="343"/>
      <c r="N298" s="336"/>
      <c r="O298" s="1626"/>
      <c r="P298" s="1626"/>
      <c r="AH298" s="1633">
        <v>0</v>
      </c>
    </row>
    <row s="1637" customFormat="1" customHeight="1" ht="45" hidden="1">
      <c r="A299" s="1782" t="s">
        <v>184</v>
      </c>
      <c r="B299" s="1782" t="s">
        <v>185</v>
      </c>
      <c r="C299" s="371"/>
      <c r="D299" s="2464"/>
      <c r="E299" s="2206"/>
      <c r="F299" s="2385" t="str">
        <f>INDEX(PT_DIFFERENTIATION_VTAR,MATCH(A299,PT_DIFFERENTIATION_VTAR_ID,0))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99" s="2429" t="str">
        <f>INDEX(PT_DIFFERENTIATION_NTAR,MATCH(B299,PT_DIFFERENTIATION_NTAR_ID,0))</f>
        <v/>
      </c>
      <c r="H299" s="1864"/>
      <c r="I299" s="1741"/>
      <c r="J299" s="1775"/>
      <c r="K299" s="1780"/>
      <c r="L299" s="1864" t="s">
        <v>315</v>
      </c>
      <c r="M299" s="343"/>
      <c r="N299" s="336"/>
      <c r="O299" s="1626"/>
      <c r="P299" s="1626"/>
      <c r="AH299" s="1633">
        <v>0</v>
      </c>
    </row>
    <row s="1637" customFormat="1" customHeight="1" ht="18.75" hidden="1">
      <c r="A300" s="1782"/>
      <c r="B300" s="1782"/>
      <c r="C300" s="371" t="s">
        <v>1153</v>
      </c>
      <c r="D300" s="2464"/>
      <c r="E300" s="2206"/>
      <c r="F300" s="2385"/>
      <c r="G300" s="2429"/>
      <c r="H300" s="1502"/>
      <c r="I300" s="653" t="s">
        <v>1152</v>
      </c>
      <c r="J300" s="573"/>
      <c r="K300" s="1502"/>
      <c r="L300" s="216"/>
      <c r="M300" s="343"/>
      <c r="N300" s="336"/>
      <c r="O300" s="1626"/>
      <c r="P300" s="1626"/>
      <c r="AH300" s="1633">
        <v>0</v>
      </c>
    </row>
    <row s="1637" customFormat="1" customHeight="1" ht="0.75" hidden="1">
      <c r="A301" s="1782"/>
      <c r="B301" s="1782"/>
      <c r="C301" s="371" t="s">
        <v>1162</v>
      </c>
      <c r="D301" s="2464"/>
      <c r="E301" s="2206"/>
      <c r="F301" s="2385"/>
      <c r="G301" s="402"/>
      <c r="H301" s="1502"/>
      <c r="I301" s="653"/>
      <c r="J301" s="573"/>
      <c r="K301" s="1502"/>
      <c r="L301" s="216"/>
      <c r="M301" s="343"/>
      <c r="N301" s="336"/>
      <c r="O301" s="1626"/>
      <c r="P301" s="1626"/>
      <c r="AH301" s="1633">
        <v>0</v>
      </c>
    </row>
    <row s="1637" customFormat="1" customHeight="1" ht="18.75" hidden="1">
      <c r="A302" s="1782" t="s">
        <v>190</v>
      </c>
      <c r="B302" s="1782" t="s">
        <v>191</v>
      </c>
      <c r="C302" s="371"/>
      <c r="D302" s="2464"/>
      <c r="E302" s="2206"/>
      <c r="F302" s="2385" t="str">
        <f>INDEX(PT_DIFFERENTIATION_VTAR,MATCH(A302,PT_DIFFERENTIATION_VTAR_ID,0))</f>
        <v>Тарифы на услуги по передаче тепловой энергии</v>
      </c>
      <c r="G302" s="2429" t="str">
        <f>INDEX(PT_DIFFERENTIATION_NTAR,MATCH(B302,PT_DIFFERENTIATION_NTAR_ID,0))</f>
        <v/>
      </c>
      <c r="H302" s="1864"/>
      <c r="I302" s="1741"/>
      <c r="J302" s="1775"/>
      <c r="K302" s="1780"/>
      <c r="L302" s="1864" t="s">
        <v>315</v>
      </c>
      <c r="M302" s="343"/>
      <c r="N302" s="336"/>
      <c r="O302" s="1626"/>
      <c r="P302" s="1626"/>
      <c r="AH302" s="1633">
        <v>0</v>
      </c>
    </row>
    <row s="1637" customFormat="1" customHeight="1" ht="18.75" hidden="1">
      <c r="A303" s="1782"/>
      <c r="B303" s="1782"/>
      <c r="C303" s="371" t="s">
        <v>1153</v>
      </c>
      <c r="D303" s="2464"/>
      <c r="E303" s="2206"/>
      <c r="F303" s="2385"/>
      <c r="G303" s="2429"/>
      <c r="H303" s="1502"/>
      <c r="I303" s="653" t="s">
        <v>1152</v>
      </c>
      <c r="J303" s="573"/>
      <c r="K303" s="1502"/>
      <c r="L303" s="216"/>
      <c r="M303" s="343"/>
      <c r="N303" s="336"/>
      <c r="O303" s="1626"/>
      <c r="P303" s="1626"/>
      <c r="AH303" s="1633">
        <v>0</v>
      </c>
    </row>
    <row s="1637" customFormat="1" customHeight="1" ht="0.75" hidden="1">
      <c r="A304" s="1782"/>
      <c r="B304" s="1782"/>
      <c r="C304" s="371" t="s">
        <v>1162</v>
      </c>
      <c r="D304" s="2464"/>
      <c r="E304" s="2206"/>
      <c r="F304" s="2385"/>
      <c r="G304" s="402"/>
      <c r="H304" s="1502"/>
      <c r="I304" s="653"/>
      <c r="J304" s="573"/>
      <c r="K304" s="1502"/>
      <c r="L304" s="216"/>
      <c r="M304" s="343"/>
      <c r="N304" s="336"/>
      <c r="O304" s="1626"/>
      <c r="P304" s="1626"/>
      <c r="AH304" s="1633">
        <v>0</v>
      </c>
    </row>
    <row s="1637" customFormat="1" customHeight="1" ht="18.75" hidden="1">
      <c r="A305" s="1782" t="s">
        <v>196</v>
      </c>
      <c r="B305" s="1782" t="s">
        <v>197</v>
      </c>
      <c r="C305" s="371"/>
      <c r="D305" s="2464"/>
      <c r="E305" s="2206"/>
      <c r="F305" s="2385" t="str">
        <f>INDEX(PT_DIFFERENTIATION_VTAR,MATCH(A305,PT_DIFFERENTIATION_VTAR_ID,0))</f>
        <v>Тарифы на услуги по передаче теплоносителя</v>
      </c>
      <c r="G305" s="2429" t="str">
        <f>INDEX(PT_DIFFERENTIATION_NTAR,MATCH(B305,PT_DIFFERENTIATION_NTAR_ID,0))</f>
        <v/>
      </c>
      <c r="H305" s="1864"/>
      <c r="I305" s="1741"/>
      <c r="J305" s="1775"/>
      <c r="K305" s="1780"/>
      <c r="L305" s="1864" t="s">
        <v>315</v>
      </c>
      <c r="M305" s="343"/>
      <c r="N305" s="336"/>
      <c r="O305" s="1626"/>
      <c r="P305" s="1626"/>
      <c r="AH305" s="1633">
        <v>0</v>
      </c>
    </row>
    <row s="1637" customFormat="1" customHeight="1" ht="18.75" hidden="1">
      <c r="A306" s="1782"/>
      <c r="B306" s="1782"/>
      <c r="C306" s="371" t="s">
        <v>1153</v>
      </c>
      <c r="D306" s="2464"/>
      <c r="E306" s="2206"/>
      <c r="F306" s="2385"/>
      <c r="G306" s="2429"/>
      <c r="H306" s="1502"/>
      <c r="I306" s="653" t="s">
        <v>1152</v>
      </c>
      <c r="J306" s="573"/>
      <c r="K306" s="1502"/>
      <c r="L306" s="216"/>
      <c r="M306" s="343"/>
      <c r="N306" s="336"/>
      <c r="O306" s="1626"/>
      <c r="P306" s="1626"/>
      <c r="AH306" s="1633">
        <v>0</v>
      </c>
    </row>
    <row s="1637" customFormat="1" customHeight="1" ht="0.75" hidden="1">
      <c r="A307" s="1782"/>
      <c r="B307" s="1782"/>
      <c r="C307" s="371" t="s">
        <v>1162</v>
      </c>
      <c r="D307" s="2464"/>
      <c r="E307" s="2206"/>
      <c r="F307" s="2385"/>
      <c r="G307" s="402"/>
      <c r="H307" s="1502"/>
      <c r="I307" s="653"/>
      <c r="J307" s="573"/>
      <c r="K307" s="1502"/>
      <c r="L307" s="216"/>
      <c r="M307" s="343"/>
      <c r="N307" s="336"/>
      <c r="O307" s="1626"/>
      <c r="P307" s="1626"/>
      <c r="AH307" s="1633">
        <v>0</v>
      </c>
    </row>
    <row s="1637" customFormat="1" customHeight="1" ht="18.75" hidden="1">
      <c r="A308" s="1782" t="s">
        <v>202</v>
      </c>
      <c r="B308" s="1782" t="s">
        <v>203</v>
      </c>
      <c r="C308" s="371"/>
      <c r="D308" s="2464"/>
      <c r="E308" s="2206"/>
      <c r="F308" s="2385" t="str">
        <f>INDEX(PT_DIFFERENTIATION_VTAR,MATCH(A308,PT_DIFFERENTIATION_VTAR_ID,0))</f>
        <v>Плата за услуги по поддержанию резервной тепловой мощности при отсутствии потребления тепловой энергии</v>
      </c>
      <c r="G308" s="2429" t="str">
        <f>INDEX(PT_DIFFERENTIATION_NTAR,MATCH(B308,PT_DIFFERENTIATION_NTAR_ID,0))</f>
        <v/>
      </c>
      <c r="H308" s="1864"/>
      <c r="I308" s="1741"/>
      <c r="J308" s="1775"/>
      <c r="K308" s="1780"/>
      <c r="L308" s="1864" t="s">
        <v>315</v>
      </c>
      <c r="M308" s="343"/>
      <c r="N308" s="336"/>
      <c r="O308" s="1626"/>
      <c r="P308" s="1626"/>
      <c r="AH308" s="1633">
        <v>0</v>
      </c>
    </row>
    <row s="1637" customFormat="1" customHeight="1" ht="18.75" hidden="1">
      <c r="A309" s="1782"/>
      <c r="B309" s="1782"/>
      <c r="C309" s="371" t="s">
        <v>1153</v>
      </c>
      <c r="D309" s="2464"/>
      <c r="E309" s="2206"/>
      <c r="F309" s="2385"/>
      <c r="G309" s="2429"/>
      <c r="H309" s="1502"/>
      <c r="I309" s="653" t="s">
        <v>1152</v>
      </c>
      <c r="J309" s="573"/>
      <c r="K309" s="1502"/>
      <c r="L309" s="216"/>
      <c r="M309" s="343"/>
      <c r="N309" s="336"/>
      <c r="O309" s="1626"/>
      <c r="P309" s="1626"/>
      <c r="AH309" s="1633">
        <v>0</v>
      </c>
    </row>
    <row s="1637" customFormat="1" customHeight="1" ht="0.75" hidden="1">
      <c r="A310" s="1782"/>
      <c r="B310" s="1782"/>
      <c r="C310" s="371" t="s">
        <v>1162</v>
      </c>
      <c r="D310" s="2464"/>
      <c r="E310" s="2206"/>
      <c r="F310" s="2385"/>
      <c r="G310" s="402"/>
      <c r="H310" s="1502"/>
      <c r="I310" s="653"/>
      <c r="J310" s="573"/>
      <c r="K310" s="1502"/>
      <c r="L310" s="216"/>
      <c r="M310" s="343"/>
      <c r="N310" s="336"/>
      <c r="O310" s="1626"/>
      <c r="P310" s="1626"/>
      <c r="AH310" s="1633">
        <v>0</v>
      </c>
    </row>
    <row s="1637" customFormat="1" customHeight="1" ht="18.75" hidden="1">
      <c r="A311" s="1782" t="s">
        <v>208</v>
      </c>
      <c r="B311" s="1782" t="s">
        <v>209</v>
      </c>
      <c r="C311" s="371"/>
      <c r="D311" s="2464"/>
      <c r="E311" s="2206"/>
      <c r="F311" s="2385" t="str">
        <f>INDEX(PT_DIFFERENTIATION_VTAR,MATCH(A311,PT_DIFFERENTIATION_VTAR_ID,0))</f>
        <v>Плата за подключение (технологическое присоединение) к системе теплоснабжения</v>
      </c>
      <c r="G311" s="2429" t="str">
        <f>INDEX(PT_DIFFERENTIATION_NTAR,MATCH(B311,PT_DIFFERENTIATION_NTAR_ID,0))</f>
        <v/>
      </c>
      <c r="H311" s="1864"/>
      <c r="I311" s="1741"/>
      <c r="J311" s="1775"/>
      <c r="K311" s="1780"/>
      <c r="L311" s="1864" t="s">
        <v>315</v>
      </c>
      <c r="M311" s="343"/>
      <c r="N311" s="336"/>
      <c r="O311" s="1626"/>
      <c r="P311" s="1626"/>
      <c r="AH311" s="1633">
        <v>0</v>
      </c>
    </row>
    <row s="1637" customFormat="1" customHeight="1" ht="18.75" hidden="1">
      <c r="A312" s="1782"/>
      <c r="B312" s="1782"/>
      <c r="C312" s="371" t="s">
        <v>1153</v>
      </c>
      <c r="D312" s="2464"/>
      <c r="E312" s="2206"/>
      <c r="F312" s="2385"/>
      <c r="G312" s="2429"/>
      <c r="H312" s="1502"/>
      <c r="I312" s="653" t="s">
        <v>1152</v>
      </c>
      <c r="J312" s="573"/>
      <c r="K312" s="1502"/>
      <c r="L312" s="216"/>
      <c r="M312" s="343"/>
      <c r="N312" s="336"/>
      <c r="O312" s="1626"/>
      <c r="P312" s="1626"/>
      <c r="AH312" s="1633">
        <v>0</v>
      </c>
    </row>
    <row s="1637" customFormat="1" customHeight="1" ht="0.75" hidden="1">
      <c r="A313" s="1782"/>
      <c r="B313" s="1782"/>
      <c r="C313" s="371" t="s">
        <v>1162</v>
      </c>
      <c r="D313" s="2464"/>
      <c r="E313" s="2206"/>
      <c r="F313" s="2385"/>
      <c r="G313" s="402"/>
      <c r="H313" s="1502"/>
      <c r="I313" s="653"/>
      <c r="J313" s="573"/>
      <c r="K313" s="1502"/>
      <c r="L313" s="216"/>
      <c r="M313" s="343"/>
      <c r="N313" s="336"/>
      <c r="O313" s="1626"/>
      <c r="P313" s="1626"/>
      <c r="AH313" s="1633">
        <v>0</v>
      </c>
    </row>
    <row s="1637" customFormat="1" customHeight="1" ht="18.75" hidden="1">
      <c r="A314" s="1782" t="s">
        <v>214</v>
      </c>
      <c r="B314" s="1782" t="s">
        <v>215</v>
      </c>
      <c r="C314" s="371"/>
      <c r="D314" s="2464"/>
      <c r="E314" s="2206"/>
      <c r="F314" s="2385" t="str">
        <f>INDEX(PT_DIFFERENTIATION_VTAR,MATCH(A314,PT_DIFFERENTIATION_VTAR_ID,0))</f>
        <v>Плата за подключение (технологическое присоединение) к системе теплоснабжения (индивидуальная)</v>
      </c>
      <c r="G314" s="2429" t="str">
        <f>INDEX(PT_DIFFERENTIATION_NTAR,MATCH(B314,PT_DIFFERENTIATION_NTAR_ID,0))</f>
        <v/>
      </c>
      <c r="H314" s="1991"/>
      <c r="I314" s="1741"/>
      <c r="J314" s="1775"/>
      <c r="K314" s="1780"/>
      <c r="L314" s="1991" t="s">
        <v>315</v>
      </c>
      <c r="M314" s="343"/>
      <c r="N314" s="336"/>
      <c r="O314" s="1626"/>
      <c r="P314" s="1626"/>
      <c r="AH314" s="1633">
        <v>0</v>
      </c>
    </row>
    <row s="1637" customFormat="1" customHeight="1" ht="18.75" hidden="1">
      <c r="A315" s="1782"/>
      <c r="B315" s="1782"/>
      <c r="C315" s="371" t="s">
        <v>1153</v>
      </c>
      <c r="D315" s="2464"/>
      <c r="E315" s="2206"/>
      <c r="F315" s="2385"/>
      <c r="G315" s="2429"/>
      <c r="H315" s="1502"/>
      <c r="I315" s="653" t="s">
        <v>1152</v>
      </c>
      <c r="J315" s="573"/>
      <c r="K315" s="1502"/>
      <c r="L315" s="216"/>
      <c r="M315" s="343"/>
      <c r="N315" s="336"/>
      <c r="O315" s="1626"/>
      <c r="P315" s="1626"/>
      <c r="AH315" s="1633">
        <v>0</v>
      </c>
    </row>
    <row s="1637" customFormat="1" customHeight="1" ht="0.75" hidden="1">
      <c r="A316" s="1782"/>
      <c r="B316" s="1782"/>
      <c r="C316" s="371" t="s">
        <v>1162</v>
      </c>
      <c r="D316" s="2464"/>
      <c r="E316" s="2206"/>
      <c r="F316" s="2385"/>
      <c r="G316" s="402"/>
      <c r="H316" s="1502"/>
      <c r="I316" s="653"/>
      <c r="J316" s="573"/>
      <c r="K316" s="1502"/>
      <c r="L316" s="216"/>
      <c r="M316" s="343"/>
      <c r="N316" s="336"/>
      <c r="O316" s="1626"/>
      <c r="P316" s="1626"/>
      <c r="AH316" s="1633">
        <v>0</v>
      </c>
    </row>
    <row s="1637" customFormat="1" customHeight="1" ht="18.75" hidden="1">
      <c r="A317" s="1782" t="s">
        <v>234</v>
      </c>
      <c r="B317" s="1782" t="s">
        <v>235</v>
      </c>
      <c r="C317" s="371"/>
      <c r="D317" s="2464"/>
      <c r="E317" s="2206"/>
      <c r="F317" s="2385" t="str">
        <f>INDEX(PT_DIFFERENTIATION_VTAR,MATCH(A317,PT_DIFFERENTIATION_VTAR_ID,0))</f>
        <v>Тариф на питьевую воду (питьевое водоснабжение)</v>
      </c>
      <c r="G317" s="2429" t="str">
        <f>INDEX(PT_DIFFERENTIATION_NTAR,MATCH(B317,PT_DIFFERENTIATION_NTAR_ID,0))</f>
        <v/>
      </c>
      <c r="H317" s="1864"/>
      <c r="I317" s="1741"/>
      <c r="J317" s="1775"/>
      <c r="K317" s="1780"/>
      <c r="L317" s="1864" t="s">
        <v>315</v>
      </c>
      <c r="M317" s="343"/>
      <c r="N317" s="336"/>
      <c r="O317" s="1626"/>
      <c r="P317" s="1626"/>
      <c r="AH317" s="1633">
        <v>0</v>
      </c>
    </row>
    <row s="1637" customFormat="1" customHeight="1" ht="18.75" hidden="1">
      <c r="A318" s="1782"/>
      <c r="B318" s="1782"/>
      <c r="C318" s="371" t="s">
        <v>1153</v>
      </c>
      <c r="D318" s="2464"/>
      <c r="E318" s="2206"/>
      <c r="F318" s="2385"/>
      <c r="G318" s="2429"/>
      <c r="H318" s="1502"/>
      <c r="I318" s="653" t="s">
        <v>1152</v>
      </c>
      <c r="J318" s="573"/>
      <c r="K318" s="1502"/>
      <c r="L318" s="216"/>
      <c r="M318" s="343"/>
      <c r="N318" s="336"/>
      <c r="O318" s="1626"/>
      <c r="P318" s="1626"/>
      <c r="AH318" s="1633">
        <v>0</v>
      </c>
    </row>
    <row s="1637" customFormat="1" customHeight="1" ht="0.75" hidden="1">
      <c r="A319" s="1782"/>
      <c r="B319" s="1782"/>
      <c r="C319" s="371" t="s">
        <v>1162</v>
      </c>
      <c r="D319" s="2464"/>
      <c r="E319" s="2206"/>
      <c r="F319" s="2385"/>
      <c r="G319" s="402"/>
      <c r="H319" s="1502"/>
      <c r="I319" s="653"/>
      <c r="J319" s="573"/>
      <c r="K319" s="1502"/>
      <c r="L319" s="216"/>
      <c r="M319" s="343"/>
      <c r="N319" s="336"/>
      <c r="O319" s="1626"/>
      <c r="P319" s="1626"/>
      <c r="AH319" s="1633">
        <v>0</v>
      </c>
    </row>
    <row s="1637" customFormat="1" customHeight="1" ht="18.75" hidden="1">
      <c r="A320" s="1782" t="s">
        <v>239</v>
      </c>
      <c r="B320" s="1782" t="s">
        <v>240</v>
      </c>
      <c r="C320" s="371"/>
      <c r="D320" s="2464"/>
      <c r="E320" s="2206"/>
      <c r="F320" s="2385" t="str">
        <f>INDEX(PT_DIFFERENTIATION_VTAR,MATCH(A320,PT_DIFFERENTIATION_VTAR_ID,0))</f>
        <v>Тариф на техническую воду</v>
      </c>
      <c r="G320" s="2429" t="str">
        <f>INDEX(PT_DIFFERENTIATION_NTAR,MATCH(B320,PT_DIFFERENTIATION_NTAR_ID,0))</f>
        <v/>
      </c>
      <c r="H320" s="1864"/>
      <c r="I320" s="1741"/>
      <c r="J320" s="1775"/>
      <c r="K320" s="1780"/>
      <c r="L320" s="1864" t="s">
        <v>315</v>
      </c>
      <c r="M320" s="343"/>
      <c r="N320" s="336"/>
      <c r="O320" s="1626"/>
      <c r="P320" s="1626"/>
      <c r="AH320" s="1633">
        <v>0</v>
      </c>
    </row>
    <row s="1637" customFormat="1" customHeight="1" ht="18.75" hidden="1">
      <c r="A321" s="1782"/>
      <c r="B321" s="1782"/>
      <c r="C321" s="371" t="s">
        <v>1153</v>
      </c>
      <c r="D321" s="2464"/>
      <c r="E321" s="2206"/>
      <c r="F321" s="2385"/>
      <c r="G321" s="2429"/>
      <c r="H321" s="1502"/>
      <c r="I321" s="653" t="s">
        <v>1152</v>
      </c>
      <c r="J321" s="573"/>
      <c r="K321" s="1502"/>
      <c r="L321" s="216"/>
      <c r="M321" s="343"/>
      <c r="N321" s="336"/>
      <c r="O321" s="1626"/>
      <c r="P321" s="1626"/>
      <c r="AH321" s="1633">
        <v>0</v>
      </c>
    </row>
    <row s="1637" customFormat="1" customHeight="1" ht="0.75" hidden="1">
      <c r="A322" s="1782"/>
      <c r="B322" s="1782"/>
      <c r="C322" s="371" t="s">
        <v>1162</v>
      </c>
      <c r="D322" s="2464"/>
      <c r="E322" s="2206"/>
      <c r="F322" s="2385"/>
      <c r="G322" s="402"/>
      <c r="H322" s="1502"/>
      <c r="I322" s="653"/>
      <c r="J322" s="573"/>
      <c r="K322" s="1502"/>
      <c r="L322" s="216"/>
      <c r="M322" s="343"/>
      <c r="N322" s="336"/>
      <c r="O322" s="1626"/>
      <c r="P322" s="1626"/>
      <c r="AH322" s="1633">
        <v>0</v>
      </c>
    </row>
    <row s="1637" customFormat="1" customHeight="1" ht="18.75" hidden="1">
      <c r="A323" s="1782" t="s">
        <v>244</v>
      </c>
      <c r="B323" s="1782" t="s">
        <v>245</v>
      </c>
      <c r="C323" s="371"/>
      <c r="D323" s="2464"/>
      <c r="E323" s="2206"/>
      <c r="F323" s="2385" t="str">
        <f>INDEX(PT_DIFFERENTIATION_VTAR,MATCH(A323,PT_DIFFERENTIATION_VTAR_ID,0))</f>
        <v>Тариф на транспортировку воды</v>
      </c>
      <c r="G323" s="2429" t="str">
        <f>INDEX(PT_DIFFERENTIATION_NTAR,MATCH(B323,PT_DIFFERENTIATION_NTAR_ID,0))</f>
        <v/>
      </c>
      <c r="H323" s="1864"/>
      <c r="I323" s="1741"/>
      <c r="J323" s="1775"/>
      <c r="K323" s="1780"/>
      <c r="L323" s="1864" t="s">
        <v>315</v>
      </c>
      <c r="M323" s="343"/>
      <c r="N323" s="336"/>
      <c r="O323" s="1626"/>
      <c r="P323" s="1626"/>
      <c r="AH323" s="1633">
        <v>0</v>
      </c>
    </row>
    <row s="1637" customFormat="1" customHeight="1" ht="18.75" hidden="1">
      <c r="A324" s="1782"/>
      <c r="B324" s="1782"/>
      <c r="C324" s="371" t="s">
        <v>1153</v>
      </c>
      <c r="D324" s="2464"/>
      <c r="E324" s="2206"/>
      <c r="F324" s="2385"/>
      <c r="G324" s="2429"/>
      <c r="H324" s="1502"/>
      <c r="I324" s="653" t="s">
        <v>1152</v>
      </c>
      <c r="J324" s="573"/>
      <c r="K324" s="1502"/>
      <c r="L324" s="216"/>
      <c r="M324" s="343"/>
      <c r="N324" s="336"/>
      <c r="O324" s="1626"/>
      <c r="P324" s="1626"/>
      <c r="AH324" s="1633">
        <v>0</v>
      </c>
    </row>
    <row s="1637" customFormat="1" customHeight="1" ht="0.75" hidden="1">
      <c r="A325" s="1782"/>
      <c r="B325" s="1782"/>
      <c r="C325" s="371" t="s">
        <v>1162</v>
      </c>
      <c r="D325" s="2464"/>
      <c r="E325" s="2206"/>
      <c r="F325" s="2385"/>
      <c r="G325" s="402"/>
      <c r="H325" s="1502"/>
      <c r="I325" s="653"/>
      <c r="J325" s="573"/>
      <c r="K325" s="1502"/>
      <c r="L325" s="216"/>
      <c r="M325" s="343"/>
      <c r="N325" s="336"/>
      <c r="O325" s="1626"/>
      <c r="P325" s="1626"/>
      <c r="AH325" s="1633">
        <v>0</v>
      </c>
    </row>
    <row s="1637" customFormat="1" customHeight="1" ht="18.75" hidden="1">
      <c r="A326" s="1782" t="s">
        <v>249</v>
      </c>
      <c r="B326" s="1782" t="s">
        <v>250</v>
      </c>
      <c r="C326" s="371"/>
      <c r="D326" s="2464"/>
      <c r="E326" s="2206"/>
      <c r="F326" s="2385" t="str">
        <f>INDEX(PT_DIFFERENTIATION_VTAR,MATCH(A326,PT_DIFFERENTIATION_VTAR_ID,0))</f>
        <v>Тариф на подвоз воды</v>
      </c>
      <c r="G326" s="2429" t="str">
        <f>INDEX(PT_DIFFERENTIATION_NTAR,MATCH(B326,PT_DIFFERENTIATION_NTAR_ID,0))</f>
        <v/>
      </c>
      <c r="H326" s="1864"/>
      <c r="I326" s="1741"/>
      <c r="J326" s="1775"/>
      <c r="K326" s="1780"/>
      <c r="L326" s="1864" t="s">
        <v>315</v>
      </c>
      <c r="M326" s="343"/>
      <c r="N326" s="336"/>
      <c r="O326" s="1626"/>
      <c r="P326" s="1626"/>
      <c r="AH326" s="1633">
        <v>0</v>
      </c>
    </row>
    <row s="1637" customFormat="1" customHeight="1" ht="18.75" hidden="1">
      <c r="A327" s="1782"/>
      <c r="B327" s="1782"/>
      <c r="C327" s="371" t="s">
        <v>1153</v>
      </c>
      <c r="D327" s="2464"/>
      <c r="E327" s="2206"/>
      <c r="F327" s="2385"/>
      <c r="G327" s="2429"/>
      <c r="H327" s="1502"/>
      <c r="I327" s="653" t="s">
        <v>1152</v>
      </c>
      <c r="J327" s="573"/>
      <c r="K327" s="1502"/>
      <c r="L327" s="216"/>
      <c r="M327" s="343"/>
      <c r="N327" s="336"/>
      <c r="O327" s="1626"/>
      <c r="P327" s="1626"/>
      <c r="AH327" s="1633">
        <v>0</v>
      </c>
    </row>
    <row s="1637" customFormat="1" customHeight="1" ht="0.75" hidden="1">
      <c r="A328" s="1782"/>
      <c r="B328" s="1782"/>
      <c r="C328" s="371" t="s">
        <v>1162</v>
      </c>
      <c r="D328" s="2464"/>
      <c r="E328" s="2206"/>
      <c r="F328" s="2385"/>
      <c r="G328" s="402"/>
      <c r="H328" s="1502"/>
      <c r="I328" s="653"/>
      <c r="J328" s="573"/>
      <c r="K328" s="1502"/>
      <c r="L328" s="216"/>
      <c r="M328" s="343"/>
      <c r="N328" s="336"/>
      <c r="O328" s="1626"/>
      <c r="P328" s="1626"/>
      <c r="AH328" s="1633">
        <v>0</v>
      </c>
    </row>
    <row s="1637" customFormat="1" customHeight="1" ht="18.75" hidden="1">
      <c r="A329" s="1782" t="s">
        <v>254</v>
      </c>
      <c r="B329" s="1782" t="s">
        <v>255</v>
      </c>
      <c r="C329" s="371"/>
      <c r="D329" s="2464"/>
      <c r="E329" s="2206"/>
      <c r="F329" s="2385" t="str">
        <f>INDEX(PT_DIFFERENTIATION_VTAR,MATCH(A329,PT_DIFFERENTIATION_VTAR_ID,0))</f>
        <v>Тариф на подключение (технологическое присоединение) к централизованной системе холодного водоснабжения</v>
      </c>
      <c r="G329" s="2429" t="str">
        <f>INDEX(PT_DIFFERENTIATION_NTAR,MATCH(B329,PT_DIFFERENTIATION_NTAR_ID,0))</f>
        <v/>
      </c>
      <c r="H329" s="1864"/>
      <c r="I329" s="1741"/>
      <c r="J329" s="1775"/>
      <c r="K329" s="1780"/>
      <c r="L329" s="1864" t="s">
        <v>315</v>
      </c>
      <c r="M329" s="343"/>
      <c r="N329" s="336"/>
      <c r="O329" s="1626"/>
      <c r="P329" s="1626"/>
      <c r="AH329" s="1633">
        <v>0</v>
      </c>
    </row>
    <row s="1637" customFormat="1" customHeight="1" ht="18.75" hidden="1">
      <c r="A330" s="1782"/>
      <c r="B330" s="1782"/>
      <c r="C330" s="371" t="s">
        <v>1153</v>
      </c>
      <c r="D330" s="2464"/>
      <c r="E330" s="2206"/>
      <c r="F330" s="2385"/>
      <c r="G330" s="2429"/>
      <c r="H330" s="1502"/>
      <c r="I330" s="653" t="s">
        <v>1152</v>
      </c>
      <c r="J330" s="573"/>
      <c r="K330" s="1502"/>
      <c r="L330" s="216"/>
      <c r="M330" s="343"/>
      <c r="N330" s="336"/>
      <c r="O330" s="1626"/>
      <c r="P330" s="1626"/>
      <c r="AH330" s="1633">
        <v>0</v>
      </c>
    </row>
    <row s="1637" customFormat="1" customHeight="1" ht="0.75" hidden="1">
      <c r="A331" s="1782"/>
      <c r="B331" s="1782"/>
      <c r="C331" s="371" t="s">
        <v>1162</v>
      </c>
      <c r="D331" s="2464"/>
      <c r="E331" s="2206"/>
      <c r="F331" s="2385"/>
      <c r="G331" s="402"/>
      <c r="H331" s="1502"/>
      <c r="I331" s="653"/>
      <c r="J331" s="573"/>
      <c r="K331" s="1502"/>
      <c r="L331" s="216"/>
      <c r="M331" s="343"/>
      <c r="N331" s="336"/>
      <c r="O331" s="1626"/>
      <c r="P331" s="1626"/>
      <c r="AH331" s="1633">
        <v>0</v>
      </c>
    </row>
    <row s="1637" customFormat="1" customHeight="1" ht="18.75" hidden="1">
      <c r="A332" s="1782" t="s">
        <v>259</v>
      </c>
      <c r="B332" s="1782" t="s">
        <v>260</v>
      </c>
      <c r="C332" s="371"/>
      <c r="D332" s="2464"/>
      <c r="E332" s="2206"/>
      <c r="F332" s="2385" t="str">
        <f>INDEX(PT_DIFFERENTIATION_VTAR,MATCH(A332,PT_DIFFERENTIATION_VTAR_ID,0))</f>
        <v>Тариф на горячую воду (горячее водоснабжение)</v>
      </c>
      <c r="G332" s="2429" t="str">
        <f>INDEX(PT_DIFFERENTIATION_NTAR,MATCH(B332,PT_DIFFERENTIATION_NTAR_ID,0))</f>
        <v/>
      </c>
      <c r="H332" s="1864"/>
      <c r="I332" s="1741"/>
      <c r="J332" s="1775"/>
      <c r="K332" s="1780"/>
      <c r="L332" s="1864" t="s">
        <v>315</v>
      </c>
      <c r="M332" s="343"/>
      <c r="N332" s="336"/>
      <c r="O332" s="1626"/>
      <c r="P332" s="1626"/>
      <c r="AH332" s="1633">
        <v>0</v>
      </c>
    </row>
    <row s="1637" customFormat="1" customHeight="1" ht="18.75" hidden="1">
      <c r="A333" s="1782"/>
      <c r="B333" s="1782"/>
      <c r="C333" s="371" t="s">
        <v>1153</v>
      </c>
      <c r="D333" s="2464"/>
      <c r="E333" s="2206"/>
      <c r="F333" s="2385"/>
      <c r="G333" s="2429"/>
      <c r="H333" s="1502"/>
      <c r="I333" s="653" t="s">
        <v>1152</v>
      </c>
      <c r="J333" s="573"/>
      <c r="K333" s="1502"/>
      <c r="L333" s="216"/>
      <c r="M333" s="343"/>
      <c r="N333" s="336"/>
      <c r="O333" s="1626"/>
      <c r="P333" s="1626"/>
      <c r="AH333" s="1633">
        <v>0</v>
      </c>
    </row>
    <row s="1637" customFormat="1" customHeight="1" ht="0.75" hidden="1">
      <c r="A334" s="1782"/>
      <c r="B334" s="1782"/>
      <c r="C334" s="371" t="s">
        <v>1162</v>
      </c>
      <c r="D334" s="2464"/>
      <c r="E334" s="2206"/>
      <c r="F334" s="2385"/>
      <c r="G334" s="402"/>
      <c r="H334" s="1502"/>
      <c r="I334" s="653"/>
      <c r="J334" s="573"/>
      <c r="K334" s="1502"/>
      <c r="L334" s="216"/>
      <c r="M334" s="343"/>
      <c r="N334" s="336"/>
      <c r="O334" s="1626"/>
      <c r="P334" s="1626"/>
      <c r="AH334" s="1633">
        <v>0</v>
      </c>
    </row>
    <row s="1637" customFormat="1" customHeight="1" ht="18.75" hidden="1">
      <c r="A335" s="1782" t="s">
        <v>264</v>
      </c>
      <c r="B335" s="1782" t="s">
        <v>265</v>
      </c>
      <c r="C335" s="371"/>
      <c r="D335" s="2464"/>
      <c r="E335" s="2206"/>
      <c r="F335" s="2385" t="str">
        <f>INDEX(PT_DIFFERENTIATION_VTAR,MATCH(A335,PT_DIFFERENTIATION_VTAR_ID,0))</f>
        <v>Тариф на транспортировку горячей воды</v>
      </c>
      <c r="G335" s="2429" t="str">
        <f>INDEX(PT_DIFFERENTIATION_NTAR,MATCH(B335,PT_DIFFERENTIATION_NTAR_ID,0))</f>
        <v/>
      </c>
      <c r="H335" s="1864"/>
      <c r="I335" s="1741"/>
      <c r="J335" s="1775"/>
      <c r="K335" s="1780"/>
      <c r="L335" s="1864" t="s">
        <v>315</v>
      </c>
      <c r="M335" s="343"/>
      <c r="N335" s="336"/>
      <c r="O335" s="1626"/>
      <c r="P335" s="1626"/>
      <c r="AH335" s="1633">
        <v>0</v>
      </c>
    </row>
    <row s="1637" customFormat="1" customHeight="1" ht="18.75" hidden="1">
      <c r="A336" s="1782"/>
      <c r="B336" s="1782"/>
      <c r="C336" s="371" t="s">
        <v>1153</v>
      </c>
      <c r="D336" s="2464"/>
      <c r="E336" s="2206"/>
      <c r="F336" s="2385"/>
      <c r="G336" s="2429"/>
      <c r="H336" s="1502"/>
      <c r="I336" s="653" t="s">
        <v>1152</v>
      </c>
      <c r="J336" s="573"/>
      <c r="K336" s="1502"/>
      <c r="L336" s="216"/>
      <c r="M336" s="343"/>
      <c r="N336" s="336"/>
      <c r="O336" s="1626"/>
      <c r="P336" s="1626"/>
      <c r="AH336" s="1633">
        <v>0</v>
      </c>
    </row>
    <row s="1637" customFormat="1" customHeight="1" ht="0.75" hidden="1">
      <c r="A337" s="1782"/>
      <c r="B337" s="1782"/>
      <c r="C337" s="371" t="s">
        <v>1162</v>
      </c>
      <c r="D337" s="2464"/>
      <c r="E337" s="2206"/>
      <c r="F337" s="2385"/>
      <c r="G337" s="402"/>
      <c r="H337" s="1502"/>
      <c r="I337" s="653"/>
      <c r="J337" s="573"/>
      <c r="K337" s="1502"/>
      <c r="L337" s="216"/>
      <c r="M337" s="343"/>
      <c r="N337" s="336"/>
      <c r="O337" s="1626"/>
      <c r="P337" s="1626"/>
      <c r="AH337" s="1633">
        <v>0</v>
      </c>
    </row>
    <row s="1637" customFormat="1" customHeight="1" ht="18.75" hidden="1">
      <c r="A338" s="1782" t="s">
        <v>269</v>
      </c>
      <c r="B338" s="1782" t="s">
        <v>270</v>
      </c>
      <c r="C338" s="371"/>
      <c r="D338" s="2464"/>
      <c r="E338" s="2206"/>
      <c r="F338" s="2385" t="str">
        <f>INDEX(PT_DIFFERENTIATION_VTAR,MATCH(A338,PT_DIFFERENTIATION_VTAR_ID,0))</f>
        <v>Тариф на подключение (технологическое присоединение) к централизованной системе горячего водоснабжения</v>
      </c>
      <c r="G338" s="2429" t="str">
        <f>INDEX(PT_DIFFERENTIATION_NTAR,MATCH(B338,PT_DIFFERENTIATION_NTAR_ID,0))</f>
        <v/>
      </c>
      <c r="H338" s="1864"/>
      <c r="I338" s="1741"/>
      <c r="J338" s="1775"/>
      <c r="K338" s="1780"/>
      <c r="L338" s="1864" t="s">
        <v>315</v>
      </c>
      <c r="M338" s="343"/>
      <c r="N338" s="336"/>
      <c r="O338" s="1626"/>
      <c r="P338" s="1626"/>
      <c r="AH338" s="1633">
        <v>0</v>
      </c>
    </row>
    <row s="1637" customFormat="1" customHeight="1" ht="18.75" hidden="1">
      <c r="A339" s="1782"/>
      <c r="B339" s="1782"/>
      <c r="C339" s="371" t="s">
        <v>1153</v>
      </c>
      <c r="D339" s="2464"/>
      <c r="E339" s="2206"/>
      <c r="F339" s="2385"/>
      <c r="G339" s="2429"/>
      <c r="H339" s="1502"/>
      <c r="I339" s="653" t="s">
        <v>1152</v>
      </c>
      <c r="J339" s="573"/>
      <c r="K339" s="1502"/>
      <c r="L339" s="216"/>
      <c r="M339" s="343"/>
      <c r="N339" s="336"/>
      <c r="O339" s="1626"/>
      <c r="P339" s="1626"/>
      <c r="AH339" s="1633">
        <v>0</v>
      </c>
    </row>
    <row s="1637" customFormat="1" customHeight="1" ht="0.75" hidden="1">
      <c r="A340" s="1782"/>
      <c r="B340" s="1782"/>
      <c r="C340" s="371" t="s">
        <v>1162</v>
      </c>
      <c r="D340" s="2464"/>
      <c r="E340" s="2206"/>
      <c r="F340" s="2385"/>
      <c r="G340" s="402"/>
      <c r="H340" s="1502"/>
      <c r="I340" s="653"/>
      <c r="J340" s="573"/>
      <c r="K340" s="1502"/>
      <c r="L340" s="216"/>
      <c r="M340" s="343"/>
      <c r="N340" s="336"/>
      <c r="O340" s="1626"/>
      <c r="P340" s="1626"/>
      <c r="AH340" s="1633">
        <v>0</v>
      </c>
    </row>
    <row s="1637" customFormat="1" customHeight="1" ht="18.75" hidden="1">
      <c r="A341" s="1782" t="s">
        <v>274</v>
      </c>
      <c r="B341" s="1782" t="s">
        <v>275</v>
      </c>
      <c r="C341" s="371"/>
      <c r="D341" s="2464"/>
      <c r="E341" s="2206"/>
      <c r="F341" s="2385" t="str">
        <f>INDEX(PT_DIFFERENTIATION_VTAR,MATCH(A341,PT_DIFFERENTIATION_VTAR_ID,0))</f>
        <v>Тариф на водоотведение</v>
      </c>
      <c r="G341" s="2429" t="str">
        <f>INDEX(PT_DIFFERENTIATION_NTAR,MATCH(B341,PT_DIFFERENTIATION_NTAR_ID,0))</f>
        <v/>
      </c>
      <c r="H341" s="1864"/>
      <c r="I341" s="1741"/>
      <c r="J341" s="1775"/>
      <c r="K341" s="1780"/>
      <c r="L341" s="1864" t="s">
        <v>315</v>
      </c>
      <c r="M341" s="343"/>
      <c r="N341" s="336"/>
      <c r="O341" s="1626"/>
      <c r="P341" s="1626"/>
      <c r="AH341" s="1633">
        <v>0</v>
      </c>
    </row>
    <row s="1637" customFormat="1" customHeight="1" ht="18.75" hidden="1">
      <c r="A342" s="1782"/>
      <c r="B342" s="1782"/>
      <c r="C342" s="371" t="s">
        <v>1153</v>
      </c>
      <c r="D342" s="2464"/>
      <c r="E342" s="2206"/>
      <c r="F342" s="2385"/>
      <c r="G342" s="2429"/>
      <c r="H342" s="1502"/>
      <c r="I342" s="653" t="s">
        <v>1152</v>
      </c>
      <c r="J342" s="573"/>
      <c r="K342" s="1502"/>
      <c r="L342" s="216"/>
      <c r="M342" s="343"/>
      <c r="N342" s="336"/>
      <c r="O342" s="1626"/>
      <c r="P342" s="1626"/>
      <c r="AH342" s="1633">
        <v>0</v>
      </c>
    </row>
    <row s="1637" customFormat="1" customHeight="1" ht="0.75" hidden="1">
      <c r="A343" s="1782"/>
      <c r="B343" s="1782"/>
      <c r="C343" s="371" t="s">
        <v>1162</v>
      </c>
      <c r="D343" s="2464"/>
      <c r="E343" s="2206"/>
      <c r="F343" s="2385"/>
      <c r="G343" s="402"/>
      <c r="H343" s="1502"/>
      <c r="I343" s="653"/>
      <c r="J343" s="573"/>
      <c r="K343" s="1502"/>
      <c r="L343" s="216"/>
      <c r="M343" s="343"/>
      <c r="N343" s="336"/>
      <c r="O343" s="1626"/>
      <c r="P343" s="1626"/>
      <c r="AH343" s="1633">
        <v>0</v>
      </c>
    </row>
    <row s="1637" customFormat="1" customHeight="1" ht="18.75" hidden="1">
      <c r="A344" s="1782" t="s">
        <v>279</v>
      </c>
      <c r="B344" s="1782" t="s">
        <v>280</v>
      </c>
      <c r="C344" s="371"/>
      <c r="D344" s="2464"/>
      <c r="E344" s="2206"/>
      <c r="F344" s="2385" t="str">
        <f>INDEX(PT_DIFFERENTIATION_VTAR,MATCH(A344,PT_DIFFERENTIATION_VTAR_ID,0))</f>
        <v>Тариф на транспортировку сточных вод</v>
      </c>
      <c r="G344" s="2429" t="str">
        <f>INDEX(PT_DIFFERENTIATION_NTAR,MATCH(B344,PT_DIFFERENTIATION_NTAR_ID,0))</f>
        <v/>
      </c>
      <c r="H344" s="1864"/>
      <c r="I344" s="1741"/>
      <c r="J344" s="1775"/>
      <c r="K344" s="1780"/>
      <c r="L344" s="1864" t="s">
        <v>315</v>
      </c>
      <c r="M344" s="343"/>
      <c r="N344" s="336"/>
      <c r="O344" s="1626"/>
      <c r="P344" s="1626"/>
      <c r="AH344" s="1633">
        <v>0</v>
      </c>
    </row>
    <row s="1637" customFormat="1" customHeight="1" ht="18.75" hidden="1">
      <c r="A345" s="1782"/>
      <c r="B345" s="1782"/>
      <c r="C345" s="371" t="s">
        <v>1153</v>
      </c>
      <c r="D345" s="2464"/>
      <c r="E345" s="2206"/>
      <c r="F345" s="2385"/>
      <c r="G345" s="2429"/>
      <c r="H345" s="1502"/>
      <c r="I345" s="653" t="s">
        <v>1152</v>
      </c>
      <c r="J345" s="573"/>
      <c r="K345" s="1502"/>
      <c r="L345" s="216"/>
      <c r="M345" s="343"/>
      <c r="N345" s="336"/>
      <c r="O345" s="1626"/>
      <c r="P345" s="1626"/>
      <c r="AH345" s="1633">
        <v>0</v>
      </c>
    </row>
    <row s="1637" customFormat="1" customHeight="1" ht="0.75" hidden="1">
      <c r="A346" s="1782"/>
      <c r="B346" s="1782"/>
      <c r="C346" s="371" t="s">
        <v>1162</v>
      </c>
      <c r="D346" s="2464"/>
      <c r="E346" s="2206"/>
      <c r="F346" s="2385"/>
      <c r="G346" s="402"/>
      <c r="H346" s="1502"/>
      <c r="I346" s="653"/>
      <c r="J346" s="573"/>
      <c r="K346" s="1502"/>
      <c r="L346" s="216"/>
      <c r="M346" s="343"/>
      <c r="N346" s="336"/>
      <c r="O346" s="1626"/>
      <c r="P346" s="1626"/>
      <c r="AH346" s="1633">
        <v>0</v>
      </c>
    </row>
    <row s="1637" customFormat="1" customHeight="1" ht="18.75" hidden="1">
      <c r="A347" s="1782" t="s">
        <v>284</v>
      </c>
      <c r="B347" s="1782" t="s">
        <v>285</v>
      </c>
      <c r="C347" s="371"/>
      <c r="D347" s="2464"/>
      <c r="E347" s="2206"/>
      <c r="F347" s="2385" t="str">
        <f>INDEX(PT_DIFFERENTIATION_VTAR,MATCH(A347,PT_DIFFERENTIATION_VTAR_ID,0))</f>
        <v>Тариф на подключение (технологическое присоединение) к централизованной системе водоотведения</v>
      </c>
      <c r="G347" s="2429" t="str">
        <f>INDEX(PT_DIFFERENTIATION_NTAR,MATCH(B347,PT_DIFFERENTIATION_NTAR_ID,0))</f>
        <v/>
      </c>
      <c r="H347" s="1864"/>
      <c r="I347" s="1741"/>
      <c r="J347" s="1775"/>
      <c r="K347" s="1780"/>
      <c r="L347" s="1864" t="s">
        <v>315</v>
      </c>
      <c r="M347" s="343"/>
      <c r="N347" s="336"/>
      <c r="O347" s="1626"/>
      <c r="P347" s="1626"/>
      <c r="AH347" s="1633">
        <v>0</v>
      </c>
    </row>
    <row s="1637" customFormat="1" customHeight="1" ht="18.75" hidden="1">
      <c r="A348" s="1782"/>
      <c r="B348" s="1782"/>
      <c r="C348" s="371" t="s">
        <v>1153</v>
      </c>
      <c r="D348" s="2464"/>
      <c r="E348" s="2206"/>
      <c r="F348" s="2385"/>
      <c r="G348" s="2429"/>
      <c r="H348" s="1502"/>
      <c r="I348" s="653" t="s">
        <v>1152</v>
      </c>
      <c r="J348" s="573"/>
      <c r="K348" s="1502"/>
      <c r="L348" s="216"/>
      <c r="M348" s="343"/>
      <c r="N348" s="336"/>
      <c r="O348" s="1626"/>
      <c r="P348" s="1626"/>
      <c r="AH348" s="1633">
        <v>0</v>
      </c>
    </row>
    <row s="1637" customFormat="1" customHeight="1" ht="0.75">
      <c r="A349" s="1782"/>
      <c r="B349" s="1782"/>
      <c r="C349" s="371" t="s">
        <v>1162</v>
      </c>
      <c r="D349" s="2464"/>
      <c r="E349" s="2206"/>
      <c r="F349" s="2385"/>
      <c r="G349" s="402"/>
      <c r="H349" s="1502"/>
      <c r="I349" s="653"/>
      <c r="J349" s="573"/>
      <c r="K349" s="1502"/>
      <c r="L349" s="216"/>
      <c r="M349" s="343"/>
      <c r="N349" s="336"/>
      <c r="O349" s="1626"/>
      <c r="P349" s="1626"/>
      <c r="AH349" s="1633">
        <v>1</v>
      </c>
    </row>
    <row s="1825" customFormat="1" customHeight="1" ht="3">
      <c r="A350" s="1782"/>
      <c r="B350" s="1782"/>
      <c r="C350" s="1783"/>
      <c r="E350" s="404"/>
      <c r="F350" s="404"/>
      <c r="G350" s="404"/>
      <c r="H350" s="404"/>
      <c r="I350" s="404"/>
      <c r="J350" s="404"/>
      <c r="K350" s="404"/>
      <c r="L350" s="404"/>
      <c r="M350" s="404"/>
      <c r="O350" s="198"/>
      <c r="P350" s="198"/>
      <c r="AH350" s="142">
        <v>3</v>
      </c>
    </row>
    <row customHeight="1" ht="26.25">
      <c r="E351" s="204"/>
      <c r="F351" s="2287"/>
      <c r="G351" s="2287"/>
      <c r="H351" s="2287"/>
      <c r="I351" s="2287"/>
      <c r="J351" s="2287"/>
      <c r="K351" s="2287"/>
      <c r="L351" s="2287"/>
      <c r="M351" s="2287"/>
      <c r="AH351" s="376">
        <v>25</v>
      </c>
    </row>
    <row customHeight="1" ht="14.25" hidden="1">
      <c r="A352" s="1781" t="s">
        <v>84</v>
      </c>
      <c r="B352" s="1781">
        <v>0</v>
      </c>
      <c r="C352" s="371">
        <v>0</v>
      </c>
      <c r="D352" s="346">
        <v>3</v>
      </c>
      <c r="E352" s="376">
        <v>6</v>
      </c>
      <c r="F352" s="376">
        <v>46</v>
      </c>
      <c r="G352" s="376">
        <v>35</v>
      </c>
      <c r="H352" s="376">
        <v>3</v>
      </c>
      <c r="I352" s="376">
        <v>11</v>
      </c>
      <c r="J352" s="376">
        <v>11</v>
      </c>
      <c r="K352" s="376">
        <v>35</v>
      </c>
      <c r="L352" s="376">
        <v>35</v>
      </c>
      <c r="M352" s="376">
        <v>84</v>
      </c>
      <c r="N352" s="376">
        <v>10</v>
      </c>
      <c r="O352" s="352">
        <v>10</v>
      </c>
      <c r="P352" s="352">
        <v>10</v>
      </c>
      <c r="Q352" s="376">
        <v>10</v>
      </c>
      <c r="R352" s="376">
        <v>10</v>
      </c>
      <c r="S352" s="376">
        <v>10</v>
      </c>
      <c r="T352" s="376">
        <v>10</v>
      </c>
      <c r="U352" s="376">
        <v>10</v>
      </c>
      <c r="V352" s="376">
        <v>10</v>
      </c>
      <c r="W352" s="376">
        <v>10</v>
      </c>
      <c r="X352" s="376">
        <v>10</v>
      </c>
      <c r="Y352" s="376">
        <v>10</v>
      </c>
      <c r="Z352" s="376">
        <v>10</v>
      </c>
      <c r="AA352" s="376">
        <v>10</v>
      </c>
      <c r="AB352" s="376">
        <v>10</v>
      </c>
      <c r="AC352" s="376">
        <v>10</v>
      </c>
      <c r="AD352" s="376">
        <v>10</v>
      </c>
      <c r="AE352" s="376">
        <v>10</v>
      </c>
      <c r="AF352" s="376">
        <v>10</v>
      </c>
      <c r="AG352" s="376">
        <v>10</v>
      </c>
      <c r="AH352" s="376">
        <v>14</v>
      </c>
    </row>
  </sheetData>
  <sheetProtection formatColumns="0" formatRows="0" autoFilter="0" sort="0" insertRows="0" insertColumns="1" deleteRows="0" deleteColumns="0"/>
  <mergeCells count="428">
    <mergeCell ref="G52:G53"/>
    <mergeCell ref="D119:D121"/>
    <mergeCell ref="E119:E121"/>
    <mergeCell ref="F119:F121"/>
    <mergeCell ref="G119:G120"/>
    <mergeCell ref="D184:D186"/>
    <mergeCell ref="E184:E186"/>
    <mergeCell ref="F184:F186"/>
    <mergeCell ref="G184:G185"/>
    <mergeCell ref="D73:D75"/>
    <mergeCell ref="E73:E75"/>
    <mergeCell ref="F73:F75"/>
    <mergeCell ref="D94:D100"/>
    <mergeCell ref="E94:E100"/>
    <mergeCell ref="D76:D78"/>
    <mergeCell ref="E76:E78"/>
    <mergeCell ref="F76:F78"/>
    <mergeCell ref="G169:G170"/>
    <mergeCell ref="G172:G173"/>
    <mergeCell ref="E52:E54"/>
    <mergeCell ref="F52:F54"/>
    <mergeCell ref="G104:G105"/>
    <mergeCell ref="G107:G108"/>
    <mergeCell ref="D79:D81"/>
    <mergeCell ref="F43:F45"/>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26:F328"/>
    <mergeCell ref="G323:G324"/>
    <mergeCell ref="D46:D48"/>
    <mergeCell ref="E46:E48"/>
    <mergeCell ref="F46:F48"/>
    <mergeCell ref="D27:D33"/>
    <mergeCell ref="E27:E33"/>
    <mergeCell ref="F27:F33"/>
    <mergeCell ref="D34:D36"/>
    <mergeCell ref="E34:E36"/>
    <mergeCell ref="F34:F36"/>
    <mergeCell ref="D37:D39"/>
    <mergeCell ref="E37:E39"/>
    <mergeCell ref="F37:F39"/>
    <mergeCell ref="G27:G32"/>
    <mergeCell ref="G34:G35"/>
    <mergeCell ref="G37:G38"/>
    <mergeCell ref="G40:G41"/>
    <mergeCell ref="G43:G44"/>
    <mergeCell ref="D40:D42"/>
    <mergeCell ref="E40:E42"/>
    <mergeCell ref="F40:F42"/>
    <mergeCell ref="D43:D45"/>
    <mergeCell ref="E43:E45"/>
    <mergeCell ref="F351:M351"/>
    <mergeCell ref="F285:L285"/>
    <mergeCell ref="D286:D288"/>
    <mergeCell ref="E286:E288"/>
    <mergeCell ref="F286:F288"/>
    <mergeCell ref="D289:D295"/>
    <mergeCell ref="E289:E295"/>
    <mergeCell ref="F289:F295"/>
    <mergeCell ref="D296:D298"/>
    <mergeCell ref="D302:D304"/>
    <mergeCell ref="E302:E304"/>
    <mergeCell ref="F302:F304"/>
    <mergeCell ref="D305:D307"/>
    <mergeCell ref="E305:E307"/>
    <mergeCell ref="F305:F307"/>
    <mergeCell ref="E296:E298"/>
    <mergeCell ref="F296:F298"/>
    <mergeCell ref="D299:D301"/>
    <mergeCell ref="E299:E301"/>
    <mergeCell ref="F323:F325"/>
    <mergeCell ref="D326:D328"/>
    <mergeCell ref="E326:E328"/>
    <mergeCell ref="D347:D349"/>
    <mergeCell ref="E347:E349"/>
    <mergeCell ref="G49:G50"/>
    <mergeCell ref="G55:G56"/>
    <mergeCell ref="G58:G59"/>
    <mergeCell ref="G61:G62"/>
    <mergeCell ref="M221:M224"/>
    <mergeCell ref="M91:M94"/>
    <mergeCell ref="F155:L155"/>
    <mergeCell ref="M156:M159"/>
    <mergeCell ref="F220:L220"/>
    <mergeCell ref="F55:F57"/>
    <mergeCell ref="F58:F60"/>
    <mergeCell ref="F79:F81"/>
    <mergeCell ref="F82:F84"/>
    <mergeCell ref="F94:F100"/>
    <mergeCell ref="F101:F103"/>
    <mergeCell ref="M24:M87"/>
    <mergeCell ref="G46:G47"/>
    <mergeCell ref="G137:G138"/>
    <mergeCell ref="G140:G141"/>
    <mergeCell ref="G143:G144"/>
    <mergeCell ref="G146:G147"/>
    <mergeCell ref="G166:G167"/>
    <mergeCell ref="G94:G99"/>
    <mergeCell ref="G101:G102"/>
    <mergeCell ref="D49:D51"/>
    <mergeCell ref="E49:E51"/>
    <mergeCell ref="F49:F51"/>
    <mergeCell ref="D67:D69"/>
    <mergeCell ref="E67:E69"/>
    <mergeCell ref="F67:F69"/>
    <mergeCell ref="D70:D72"/>
    <mergeCell ref="E70:E72"/>
    <mergeCell ref="F70:F72"/>
    <mergeCell ref="D61:D63"/>
    <mergeCell ref="E61:E63"/>
    <mergeCell ref="F61:F63"/>
    <mergeCell ref="D64:D66"/>
    <mergeCell ref="E64:E66"/>
    <mergeCell ref="F64:F66"/>
    <mergeCell ref="D55:D57"/>
    <mergeCell ref="E55:E57"/>
    <mergeCell ref="D58:D60"/>
    <mergeCell ref="E58:E60"/>
    <mergeCell ref="D52:D54"/>
    <mergeCell ref="E79:E81"/>
    <mergeCell ref="D82:D84"/>
    <mergeCell ref="E82:E84"/>
    <mergeCell ref="D101:D103"/>
    <mergeCell ref="E101:E103"/>
    <mergeCell ref="D116:D118"/>
    <mergeCell ref="E116:E118"/>
    <mergeCell ref="F116:F118"/>
    <mergeCell ref="F104:F106"/>
    <mergeCell ref="D107:D109"/>
    <mergeCell ref="E107:E109"/>
    <mergeCell ref="F107:F109"/>
    <mergeCell ref="D85:D87"/>
    <mergeCell ref="E85:E87"/>
    <mergeCell ref="F85:F87"/>
    <mergeCell ref="D91:D93"/>
    <mergeCell ref="E91:E93"/>
    <mergeCell ref="F91:F93"/>
    <mergeCell ref="D104:D106"/>
    <mergeCell ref="E104:E106"/>
    <mergeCell ref="F88:L88"/>
    <mergeCell ref="H89:I89"/>
    <mergeCell ref="F90:L90"/>
    <mergeCell ref="G110:G111"/>
    <mergeCell ref="D122:D124"/>
    <mergeCell ref="E122:E124"/>
    <mergeCell ref="F122:F124"/>
    <mergeCell ref="D110:D112"/>
    <mergeCell ref="E110:E112"/>
    <mergeCell ref="F110:F112"/>
    <mergeCell ref="D113:D115"/>
    <mergeCell ref="E113:E115"/>
    <mergeCell ref="F113:F115"/>
    <mergeCell ref="D125:D127"/>
    <mergeCell ref="E125:E127"/>
    <mergeCell ref="F125:F127"/>
    <mergeCell ref="D128:D130"/>
    <mergeCell ref="E128:E130"/>
    <mergeCell ref="F128:F130"/>
    <mergeCell ref="G128:G129"/>
    <mergeCell ref="G131:G132"/>
    <mergeCell ref="G134:G135"/>
    <mergeCell ref="D131:D133"/>
    <mergeCell ref="E131:E133"/>
    <mergeCell ref="F131:F133"/>
    <mergeCell ref="D134:D136"/>
    <mergeCell ref="E134:E136"/>
    <mergeCell ref="F134:F136"/>
    <mergeCell ref="D143:D145"/>
    <mergeCell ref="E143:E145"/>
    <mergeCell ref="F143:F145"/>
    <mergeCell ref="D146:D148"/>
    <mergeCell ref="E146:E148"/>
    <mergeCell ref="F146:F148"/>
    <mergeCell ref="D137:D139"/>
    <mergeCell ref="E137:E139"/>
    <mergeCell ref="F137:F139"/>
    <mergeCell ref="D140:D142"/>
    <mergeCell ref="E140:E142"/>
    <mergeCell ref="F140:F142"/>
    <mergeCell ref="G149:G150"/>
    <mergeCell ref="G152:G153"/>
    <mergeCell ref="G156:G157"/>
    <mergeCell ref="G159:G164"/>
    <mergeCell ref="D172:D174"/>
    <mergeCell ref="E172:E174"/>
    <mergeCell ref="F172:F174"/>
    <mergeCell ref="D175:D177"/>
    <mergeCell ref="E175:E177"/>
    <mergeCell ref="F175:F177"/>
    <mergeCell ref="D166:D168"/>
    <mergeCell ref="D159:D165"/>
    <mergeCell ref="E159:E165"/>
    <mergeCell ref="F159:F165"/>
    <mergeCell ref="D149:D151"/>
    <mergeCell ref="E149:E151"/>
    <mergeCell ref="F149:F151"/>
    <mergeCell ref="D152:D154"/>
    <mergeCell ref="E152:E154"/>
    <mergeCell ref="F152:F154"/>
    <mergeCell ref="D156:D158"/>
    <mergeCell ref="E156:E158"/>
    <mergeCell ref="F156:F158"/>
    <mergeCell ref="E166:E168"/>
    <mergeCell ref="F166:F168"/>
    <mergeCell ref="D169:D171"/>
    <mergeCell ref="E169:E171"/>
    <mergeCell ref="F169:F171"/>
    <mergeCell ref="D178:D180"/>
    <mergeCell ref="E178:E180"/>
    <mergeCell ref="F178:F180"/>
    <mergeCell ref="D181:D183"/>
    <mergeCell ref="E181:E183"/>
    <mergeCell ref="F181:F183"/>
    <mergeCell ref="D202:D204"/>
    <mergeCell ref="E202:E204"/>
    <mergeCell ref="F202:F204"/>
    <mergeCell ref="D193:D195"/>
    <mergeCell ref="E193:E195"/>
    <mergeCell ref="F193:F195"/>
    <mergeCell ref="D196:D198"/>
    <mergeCell ref="E196:E198"/>
    <mergeCell ref="F196:F198"/>
    <mergeCell ref="D187:D189"/>
    <mergeCell ref="E187:E189"/>
    <mergeCell ref="F187:F189"/>
    <mergeCell ref="D190:D192"/>
    <mergeCell ref="E190:E192"/>
    <mergeCell ref="F190:F192"/>
    <mergeCell ref="G190:G191"/>
    <mergeCell ref="D199:D201"/>
    <mergeCell ref="E199:E201"/>
    <mergeCell ref="F199:F201"/>
    <mergeCell ref="D205:D207"/>
    <mergeCell ref="E205:E207"/>
    <mergeCell ref="F205:F207"/>
    <mergeCell ref="D208:D210"/>
    <mergeCell ref="E208:E210"/>
    <mergeCell ref="F208:F210"/>
    <mergeCell ref="G205:G206"/>
    <mergeCell ref="G208:G209"/>
    <mergeCell ref="D231:D233"/>
    <mergeCell ref="E231:E233"/>
    <mergeCell ref="F231:F233"/>
    <mergeCell ref="D217:D219"/>
    <mergeCell ref="E217:E219"/>
    <mergeCell ref="F217:F219"/>
    <mergeCell ref="D221:D223"/>
    <mergeCell ref="E221:E223"/>
    <mergeCell ref="F221:F223"/>
    <mergeCell ref="D211:D213"/>
    <mergeCell ref="E211:E213"/>
    <mergeCell ref="F211:F213"/>
    <mergeCell ref="D214:D216"/>
    <mergeCell ref="E214:E216"/>
    <mergeCell ref="F214:F216"/>
    <mergeCell ref="G214:G215"/>
    <mergeCell ref="D240:D242"/>
    <mergeCell ref="E240:E242"/>
    <mergeCell ref="F240:F242"/>
    <mergeCell ref="D243:D245"/>
    <mergeCell ref="E243:E245"/>
    <mergeCell ref="F243:F245"/>
    <mergeCell ref="G243:G244"/>
    <mergeCell ref="D224:D230"/>
    <mergeCell ref="E224:E230"/>
    <mergeCell ref="F224:F230"/>
    <mergeCell ref="D234:D236"/>
    <mergeCell ref="E234:E236"/>
    <mergeCell ref="F234:F236"/>
    <mergeCell ref="D237:D239"/>
    <mergeCell ref="E237:E239"/>
    <mergeCell ref="F237:F239"/>
    <mergeCell ref="D255:D257"/>
    <mergeCell ref="E255:E257"/>
    <mergeCell ref="F255:F257"/>
    <mergeCell ref="G249:G250"/>
    <mergeCell ref="D261:D263"/>
    <mergeCell ref="E261:E263"/>
    <mergeCell ref="F261:F263"/>
    <mergeCell ref="D258:D260"/>
    <mergeCell ref="E258:E260"/>
    <mergeCell ref="F258:F260"/>
    <mergeCell ref="D246:D248"/>
    <mergeCell ref="E246:E248"/>
    <mergeCell ref="F246:F248"/>
    <mergeCell ref="D252:D254"/>
    <mergeCell ref="E252:E254"/>
    <mergeCell ref="F252:F254"/>
    <mergeCell ref="D249:D251"/>
    <mergeCell ref="E249:E251"/>
    <mergeCell ref="F249:F251"/>
    <mergeCell ref="D264:D266"/>
    <mergeCell ref="E264:E266"/>
    <mergeCell ref="F264:F266"/>
    <mergeCell ref="G261:G262"/>
    <mergeCell ref="G264:G265"/>
    <mergeCell ref="G267:G268"/>
    <mergeCell ref="D282:D284"/>
    <mergeCell ref="E282:E284"/>
    <mergeCell ref="F282:F284"/>
    <mergeCell ref="D273:D275"/>
    <mergeCell ref="E273:E275"/>
    <mergeCell ref="F273:F275"/>
    <mergeCell ref="D276:D278"/>
    <mergeCell ref="E276:E278"/>
    <mergeCell ref="F276:F278"/>
    <mergeCell ref="D267:D269"/>
    <mergeCell ref="E267:E269"/>
    <mergeCell ref="F267:F269"/>
    <mergeCell ref="D270:D272"/>
    <mergeCell ref="E270:E272"/>
    <mergeCell ref="F270:F272"/>
    <mergeCell ref="G270:G271"/>
    <mergeCell ref="D279:D281"/>
    <mergeCell ref="E279:E281"/>
    <mergeCell ref="F279:F281"/>
    <mergeCell ref="F299:F301"/>
    <mergeCell ref="D317:D319"/>
    <mergeCell ref="E317:E319"/>
    <mergeCell ref="F317:F319"/>
    <mergeCell ref="D320:D322"/>
    <mergeCell ref="E320:E322"/>
    <mergeCell ref="F320:F322"/>
    <mergeCell ref="D308:D310"/>
    <mergeCell ref="E308:E310"/>
    <mergeCell ref="F308:F310"/>
    <mergeCell ref="D311:D313"/>
    <mergeCell ref="E311:E313"/>
    <mergeCell ref="F311:F313"/>
    <mergeCell ref="D314:D316"/>
    <mergeCell ref="E314:E316"/>
    <mergeCell ref="F314:F316"/>
    <mergeCell ref="F347:F349"/>
    <mergeCell ref="M286:M289"/>
    <mergeCell ref="D341:D343"/>
    <mergeCell ref="E341:E343"/>
    <mergeCell ref="F341:F343"/>
    <mergeCell ref="D344:D346"/>
    <mergeCell ref="E344:E346"/>
    <mergeCell ref="F344:F346"/>
    <mergeCell ref="D335:D337"/>
    <mergeCell ref="E335:E337"/>
    <mergeCell ref="F335:F337"/>
    <mergeCell ref="D338:D340"/>
    <mergeCell ref="E338:E340"/>
    <mergeCell ref="F338:F340"/>
    <mergeCell ref="D329:D331"/>
    <mergeCell ref="E329:E331"/>
    <mergeCell ref="F329:F331"/>
    <mergeCell ref="D332:D334"/>
    <mergeCell ref="E332:E334"/>
    <mergeCell ref="F332:F334"/>
    <mergeCell ref="D323:D325"/>
    <mergeCell ref="E323:E325"/>
    <mergeCell ref="G347:G348"/>
    <mergeCell ref="G289:G294"/>
    <mergeCell ref="G64:G65"/>
    <mergeCell ref="G67:G68"/>
    <mergeCell ref="G70:G71"/>
    <mergeCell ref="G73:G74"/>
    <mergeCell ref="G76:G77"/>
    <mergeCell ref="G79:G80"/>
    <mergeCell ref="G82:G83"/>
    <mergeCell ref="G85:G86"/>
    <mergeCell ref="G91:G92"/>
    <mergeCell ref="G335:G336"/>
    <mergeCell ref="G338:G339"/>
    <mergeCell ref="G341:G342"/>
    <mergeCell ref="G344:G345"/>
    <mergeCell ref="G326:G327"/>
    <mergeCell ref="G329:G330"/>
    <mergeCell ref="G332:G333"/>
    <mergeCell ref="G320:G321"/>
    <mergeCell ref="G273:G274"/>
    <mergeCell ref="G276:G277"/>
    <mergeCell ref="G279:G280"/>
    <mergeCell ref="G282:G283"/>
    <mergeCell ref="G286:G287"/>
    <mergeCell ref="G296:G297"/>
    <mergeCell ref="G299:G300"/>
    <mergeCell ref="G302:G303"/>
    <mergeCell ref="G305:G306"/>
    <mergeCell ref="G308:G309"/>
    <mergeCell ref="G311:G312"/>
    <mergeCell ref="G317:G318"/>
    <mergeCell ref="G314:G315"/>
    <mergeCell ref="G113:G114"/>
    <mergeCell ref="G116:G117"/>
    <mergeCell ref="G122:G123"/>
    <mergeCell ref="G125:G126"/>
    <mergeCell ref="G246:G247"/>
    <mergeCell ref="G252:G253"/>
    <mergeCell ref="G255:G256"/>
    <mergeCell ref="G258:G259"/>
    <mergeCell ref="G211:G212"/>
    <mergeCell ref="G217:G218"/>
    <mergeCell ref="G221:G222"/>
    <mergeCell ref="G224:G229"/>
    <mergeCell ref="G231:G232"/>
    <mergeCell ref="G178:G179"/>
    <mergeCell ref="G181:G182"/>
    <mergeCell ref="G187:G188"/>
    <mergeCell ref="G234:G235"/>
    <mergeCell ref="G237:G238"/>
    <mergeCell ref="G240:G241"/>
    <mergeCell ref="G193:G194"/>
    <mergeCell ref="G196:G197"/>
    <mergeCell ref="G199:G200"/>
    <mergeCell ref="G202:G203"/>
    <mergeCell ref="G175:G176"/>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43:J43 I24:J24 I27:J31 I34:J34 I37:J37 I40:J40 I46:J46 I49:J49 I55:J55 I58:J58 I61:J61 I64:J64 I67:J67 I70:J70 I73:J73 I76:J76 I79:J79 I82:J82 I221:J221 I224:J228 I231:J231 I234:J234 I237:J237 I240:J240 I243:J243 I246:J246 I252:J252 I255:J255 I258:J258 I261:J261 I264:J264 I267:J267 I270:J270 I273:J273 I276:J276 I8:J8 I85:J85 I152:J152 I94:J98 I101:J101 I104:J104 I107:J107 I110:J110 I113:J113 I116:J116 I122:J122 I125:J125 I128:J128 I131:J131 I134:J134 I137:J137 I140:J140 I143:J143 I146:J146 I149:J149 I156:J156 I91:J91 I159:J163 I166:J166 I169:J169 I172:J172 I175:J175 I178:J178 I181:J181 I187:J187 I190:J190 I193:J193 I196:J196 I199:J199 I205:J205 I208:J208 I211:J211 I214:J214 I217:J217 I202:J202 I279:J279 I282:J282 I286:J286 I289:J293 I296:J296 I299:J299 I302:J302 I305:J305 I308:J308 I311:J311 I317:J317 I320:J320 I323:J323 I326:J326 I329:J329 I332:J332 I335:J335 I338:J338 I341:J341 I344:J344 I347:J347 I2:J2 I5:J5 I52:J52 I119:J119 I184:J184 I249:J249 I314:J31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9">
      <formula1>900</formula1>
    </dataValidation>
    <dataValidation type="textLength" operator="lessThanOrEqual" allowBlank="1" showInputMessage="1" showErrorMessage="1" errorTitle="Ошибка" error="Допускается ввод не более 900 символов!" sqref="M156:M157 M221:M222 M23 M91:M92 M286:M287">
      <formula1>900</formula1>
    </dataValidation>
    <dataValidation type="decimal" allowBlank="1" showErrorMessage="1" errorTitle="Ошибка" error="Допускается ввод только действительных чисел!" sqref="K221 K224:K228 K231 K234 K237 K240 K243 K246 K252 K255 K258 K261 K264 K267 K270 K273 K276 K279 K10 K91 K149 K146 K143 K140 K137 K134 K131 K128 K125 K122 K116 K113 K110 K107 K104 K101 K94:K98 K156 K152 K159:K163 K166 K169 K172 K175 K178 K181 K187 K190 K193 K196 K199 K205 K208 K211 K214 K217 K202 K282 K286 K289:K293 K296 K299 K302 K305 K308 K311 K317 K320 K323 K326 K329 K332 K335 K338 K341 K344 K347 K5 K119 K184 K249 K31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2E2246-B232-EC6F-13CB-0.8750E994}" mc:Ignorable="x14ac xr xr2 xr3">
  <sheetPr>
    <tabColor theme="6" tint="0.4"/>
  </sheetPr>
  <dimension ref="A1:R17"/>
  <sheetViews>
    <sheetView topLeftCell="A1" showGridLines="0" zoomScale="90" workbookViewId="0">
      <selection activeCell="F10" sqref="F10:G13"/>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454</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309</v>
      </c>
      <c r="E8" s="2211"/>
      <c r="F8" s="2211"/>
      <c r="G8" s="2211"/>
      <c r="H8" s="2391" t="s">
        <v>310</v>
      </c>
      <c r="R8" s="376">
        <v>14</v>
      </c>
    </row>
    <row customHeight="1" ht="24">
      <c r="C9" s="378"/>
      <c r="D9" s="388" t="s">
        <v>90</v>
      </c>
      <c r="E9" s="110" t="s">
        <v>311</v>
      </c>
      <c r="F9" s="110" t="s">
        <v>312</v>
      </c>
      <c r="G9" s="110" t="s">
        <v>399</v>
      </c>
      <c r="H9" s="2391"/>
      <c r="R9" s="376">
        <v>23</v>
      </c>
    </row>
    <row customHeight="1" ht="15">
      <c r="A10" s="345"/>
      <c r="C10" s="378"/>
      <c r="D10" s="149" t="s">
        <v>111</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71" t="s">
        <v>1173</v>
      </c>
      <c r="G10" s="215" t="s">
        <v>1174</v>
      </c>
      <c r="H10" s="2171" t="s">
        <v>1175</v>
      </c>
      <c r="R10" s="376">
        <v>14</v>
      </c>
    </row>
    <row customHeight="1" ht="15">
      <c r="A11" s="345"/>
      <c r="C11" s="378"/>
      <c r="D11" s="149" t="s">
        <v>112</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9" t="s">
        <v>1176</v>
      </c>
      <c r="G11" s="215" t="s">
        <v>1174</v>
      </c>
      <c r="H11" s="2172"/>
      <c r="R11" s="376">
        <v>14</v>
      </c>
    </row>
    <row customHeight="1" ht="15">
      <c r="A12" s="104"/>
      <c r="C12" s="389"/>
      <c r="D12" s="149" t="s">
        <v>92</v>
      </c>
      <c r="E12" s="390" t="str">
        <f>"Сведения о планировании закупочных процедур"&amp;IF(TEMPLATE_SPHERE="TKO"," &lt;1&gt;","")</f>
        <v>Сведения о планировании закупочных процедур</v>
      </c>
      <c r="F12" s="259" t="s">
        <v>1177</v>
      </c>
      <c r="G12" s="215" t="s">
        <v>1178</v>
      </c>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2"/>
      <c r="K12" s="376"/>
      <c r="R12" s="376">
        <v>14</v>
      </c>
    </row>
    <row customHeight="1" ht="15">
      <c r="A13" s="104"/>
      <c r="C13" s="389"/>
      <c r="D13" s="149" t="s">
        <v>93</v>
      </c>
      <c r="E13" s="390" t="str">
        <f>"Сведения о результатах проведения закупочных процедур"&amp;IF(TEMPLATE_SPHERE="TKO"," &lt;1&gt;","")</f>
        <v>Сведения о результатах проведения закупочных процедур</v>
      </c>
      <c r="F13" s="259" t="s">
        <v>1179</v>
      </c>
      <c r="G13" s="215" t="s">
        <v>1180</v>
      </c>
      <c r="H13" s="2172"/>
      <c r="I13" s="352"/>
      <c r="K13" s="376"/>
      <c r="R13" s="376">
        <v>14</v>
      </c>
    </row>
    <row customHeight="1" ht="15">
      <c r="A14" s="345"/>
      <c r="C14" s="378"/>
      <c r="D14" s="349"/>
      <c r="E14" s="397" t="s">
        <v>331</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84</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BA6883-24E5-4289-F971-0.3C394B94}"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1181</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119</v>
      </c>
      <c r="J8" s="754"/>
      <c r="K8" s="419"/>
      <c r="U8" s="677"/>
      <c r="V8" s="760">
        <v>1</v>
      </c>
    </row>
    <row customHeight="1" ht="15.75">
      <c r="C9" s="178"/>
      <c r="D9" s="713"/>
      <c r="E9" s="2369" t="s">
        <v>107</v>
      </c>
      <c r="F9" s="2370"/>
      <c r="G9" s="2397" t="str">
        <f>IF(G8="","",INDEX(DIFFERENTIATION_UNMERGE_VD,MATCH(G8,DIFFERENTIATION_ID_DIFF,0)))</f>
        <v/>
      </c>
      <c r="H9" s="2398"/>
      <c r="I9" s="2397">
        <f>IF(I8="","",INDEX(DIFFERENTIATION_UNMERGE_VD,MATCH(I8,DIFFERENTIATION_ID_DIFF,0)))</f>
        <v>0</v>
      </c>
      <c r="J9" s="2398"/>
      <c r="K9" s="2177" t="s">
        <v>310</v>
      </c>
      <c r="V9" s="507">
        <v>15</v>
      </c>
    </row>
    <row s="1637" customFormat="1" customHeight="1" ht="15.75">
      <c r="A10" s="761"/>
      <c r="C10" s="178"/>
      <c r="D10" s="713"/>
      <c r="E10" s="2369" t="s">
        <v>572</v>
      </c>
      <c r="F10" s="2370"/>
      <c r="G10" s="2397" t="str">
        <f>IF(G8="","",INDEX(DIFFERENTIATION_UNMERGE_AREA,MATCH(G8,DIFFERENTIATION_ID_DIFF,0)))</f>
        <v/>
      </c>
      <c r="H10" s="2398"/>
      <c r="I10" s="2397" t="str">
        <f>IF(I8="","",INDEX(DIFFERENTIATION_UNMERGE_AREA,MATCH(I8,DIFFERENTIATION_ID_DIFF,0)))</f>
        <v/>
      </c>
      <c r="J10" s="2398"/>
      <c r="K10" s="2201"/>
      <c r="U10" s="677"/>
      <c r="V10" s="760">
        <v>15</v>
      </c>
    </row>
    <row s="1637" customFormat="1" customHeight="1" ht="15.75">
      <c r="A11" s="761"/>
      <c r="C11" s="178"/>
      <c r="D11" s="713"/>
      <c r="E11" s="2369" t="s">
        <v>573</v>
      </c>
      <c r="F11" s="2370"/>
      <c r="G11" s="2397" t="str">
        <f>IF(G8="","",INDEX(DIFFERENTIATION_UNMERGE_SYSTEM,MATCH(G8,DIFFERENTIATION_ID_DIFF,0)))</f>
        <v/>
      </c>
      <c r="H11" s="2398"/>
      <c r="I11" s="2397" t="str">
        <f>IF(I8="","",INDEX(DIFFERENTIATION_UNMERGE_SYSTEM,MATCH(I8,DIFFERENTIATION_ID_DIFF,0)))</f>
        <v>без дифференциации</v>
      </c>
      <c r="J11" s="2398"/>
      <c r="K11" s="2201"/>
      <c r="U11" s="677"/>
      <c r="V11" s="760">
        <v>15</v>
      </c>
    </row>
    <row s="1637" customFormat="1" customHeight="1" ht="15.75">
      <c r="A12" s="761"/>
      <c r="C12" s="178"/>
      <c r="D12" s="2371" t="s">
        <v>309</v>
      </c>
      <c r="E12" s="2372"/>
      <c r="F12" s="2372"/>
      <c r="G12" s="889"/>
      <c r="H12" s="889"/>
      <c r="I12" s="889"/>
      <c r="J12" s="889"/>
      <c r="K12" s="2201"/>
      <c r="U12" s="677"/>
      <c r="V12" s="760">
        <v>15</v>
      </c>
    </row>
    <row customHeight="1" ht="36">
      <c r="C13" s="178"/>
      <c r="D13" s="807" t="s">
        <v>90</v>
      </c>
      <c r="E13" s="809" t="s">
        <v>311</v>
      </c>
      <c r="F13" s="809" t="s">
        <v>574</v>
      </c>
      <c r="G13" s="810" t="s">
        <v>312</v>
      </c>
      <c r="H13" s="809" t="s">
        <v>399</v>
      </c>
      <c r="I13" s="810" t="s">
        <v>312</v>
      </c>
      <c r="J13" s="809" t="s">
        <v>399</v>
      </c>
      <c r="K13" s="2234"/>
      <c r="V13" s="507">
        <v>34</v>
      </c>
    </row>
    <row customHeight="1" ht="15" hidden="1">
      <c r="C14" s="178"/>
      <c r="D14" s="595" t="s">
        <v>111</v>
      </c>
      <c r="E14" s="595" t="s">
        <v>112</v>
      </c>
      <c r="F14" s="595" t="s">
        <v>92</v>
      </c>
      <c r="G14" s="661" t="str">
        <f>G1&amp;".1"</f>
        <v>4.1</v>
      </c>
      <c r="H14" s="661"/>
      <c r="I14" s="661" t="str">
        <f>I1&amp;".1"</f>
        <v>4.1</v>
      </c>
      <c r="J14" s="661"/>
      <c r="K14" s="291"/>
      <c r="V14" s="507">
        <v>0</v>
      </c>
    </row>
    <row customHeight="1" ht="22.5" hidden="1">
      <c r="A15" s="507"/>
      <c r="C15" s="528"/>
      <c r="D15" s="523">
        <v>1</v>
      </c>
      <c r="E15" s="679" t="s">
        <v>816</v>
      </c>
      <c r="F15" s="523" t="s">
        <v>817</v>
      </c>
      <c r="G15" s="680"/>
      <c r="H15" s="680"/>
      <c r="I15" s="680"/>
      <c r="J15" s="680"/>
      <c r="K15" s="291" t="s">
        <v>818</v>
      </c>
      <c r="V15" s="507">
        <v>0</v>
      </c>
    </row>
    <row customHeight="1" ht="22.5" hidden="1">
      <c r="A16" s="507"/>
      <c r="C16" s="528"/>
      <c r="D16" s="523">
        <v>2</v>
      </c>
      <c r="E16" s="281" t="s">
        <v>819</v>
      </c>
      <c r="F16" s="523" t="s">
        <v>820</v>
      </c>
      <c r="G16" s="680"/>
      <c r="H16" s="680"/>
      <c r="I16" s="680"/>
      <c r="J16" s="680"/>
      <c r="K16" s="291" t="s">
        <v>821</v>
      </c>
      <c r="V16" s="507">
        <v>0</v>
      </c>
    </row>
    <row customHeight="1" ht="123.75" hidden="1">
      <c r="A17" s="507"/>
      <c r="C17" s="528"/>
      <c r="D17" s="523">
        <v>3</v>
      </c>
      <c r="E17" s="281" t="s">
        <v>1182</v>
      </c>
      <c r="F17" s="523" t="s">
        <v>315</v>
      </c>
      <c r="G17" s="680"/>
      <c r="H17" s="680"/>
      <c r="I17" s="680"/>
      <c r="J17" s="680"/>
      <c r="K17" s="291" t="s">
        <v>1183</v>
      </c>
      <c r="V17" s="507">
        <v>0</v>
      </c>
    </row>
    <row customHeight="1" ht="48">
      <c r="A18" s="507"/>
      <c r="C18" s="528"/>
      <c r="D18" s="523">
        <v>3</v>
      </c>
      <c r="E18" s="281" t="s">
        <v>822</v>
      </c>
      <c r="F18" s="523" t="s">
        <v>315</v>
      </c>
      <c r="G18" s="811" t="s">
        <v>315</v>
      </c>
      <c r="H18" s="812" t="s">
        <v>315</v>
      </c>
      <c r="I18" s="523" t="s">
        <v>315</v>
      </c>
      <c r="J18" s="580" t="s">
        <v>315</v>
      </c>
      <c r="K18" s="291" t="s">
        <v>1184</v>
      </c>
      <c r="V18" s="507">
        <v>46</v>
      </c>
    </row>
    <row customHeight="1" ht="36">
      <c r="A19" s="507"/>
      <c r="C19" s="528"/>
      <c r="D19" s="541" t="s">
        <v>333</v>
      </c>
      <c r="E19" s="561" t="s">
        <v>824</v>
      </c>
      <c r="F19" s="523" t="s">
        <v>825</v>
      </c>
      <c r="G19" s="819"/>
      <c r="H19" s="108"/>
      <c r="I19" s="819"/>
      <c r="J19" s="820"/>
      <c r="K19" s="681"/>
      <c r="V19" s="507">
        <v>34</v>
      </c>
    </row>
    <row customHeight="1" ht="36">
      <c r="A20" s="507"/>
      <c r="C20" s="528"/>
      <c r="D20" s="1892" t="s">
        <v>341</v>
      </c>
      <c r="E20" s="561" t="s">
        <v>826</v>
      </c>
      <c r="F20" s="523" t="s">
        <v>827</v>
      </c>
      <c r="G20" s="819"/>
      <c r="H20" s="108"/>
      <c r="I20" s="819"/>
      <c r="J20" s="108"/>
      <c r="K20" s="681"/>
      <c r="V20" s="507">
        <v>34</v>
      </c>
    </row>
    <row customHeight="1" ht="48">
      <c r="A21" s="507"/>
      <c r="C21" s="528"/>
      <c r="D21" s="1892" t="s">
        <v>343</v>
      </c>
      <c r="E21" s="561" t="s">
        <v>828</v>
      </c>
      <c r="F21" s="523" t="s">
        <v>579</v>
      </c>
      <c r="G21" s="682"/>
      <c r="H21" s="108"/>
      <c r="I21" s="682"/>
      <c r="J21" s="108"/>
      <c r="K21" s="681"/>
      <c r="V21" s="507">
        <v>46</v>
      </c>
    </row>
    <row customHeight="1" ht="67.5" hidden="1">
      <c r="A22" s="507"/>
      <c r="C22" s="528"/>
      <c r="D22" s="523">
        <v>5</v>
      </c>
      <c r="E22" s="281" t="s">
        <v>1185</v>
      </c>
      <c r="F22" s="523" t="s">
        <v>566</v>
      </c>
      <c r="G22" s="683"/>
      <c r="H22" s="684"/>
      <c r="I22" s="683"/>
      <c r="J22" s="684"/>
      <c r="K22" s="291" t="s">
        <v>1186</v>
      </c>
      <c r="V22" s="507">
        <v>0</v>
      </c>
    </row>
    <row customHeight="1" ht="33.75" hidden="1">
      <c r="C23" s="453"/>
      <c r="D23" s="523">
        <v>6</v>
      </c>
      <c r="E23" s="281" t="s">
        <v>1187</v>
      </c>
      <c r="F23" s="523" t="s">
        <v>1188</v>
      </c>
      <c r="G23" s="683"/>
      <c r="H23" s="683"/>
      <c r="I23" s="683"/>
      <c r="J23" s="683"/>
      <c r="K23" s="291" t="s">
        <v>1189</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84</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FD6CD929-E7F9-A7E3-6FAD-0.D3BDEA0C}"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1190</v>
      </c>
      <c r="B1" s="1069" t="s">
        <v>1191</v>
      </c>
      <c r="C1" s="1069" t="s">
        <v>1192</v>
      </c>
      <c r="D1" s="1069" t="s">
        <v>1193</v>
      </c>
      <c r="E1" s="1069" t="s">
        <v>1194</v>
      </c>
      <c r="F1" s="1069" t="s">
        <v>1195</v>
      </c>
      <c r="G1" s="1069" t="s">
        <v>1196</v>
      </c>
      <c r="H1" s="1069" t="s">
        <v>1197</v>
      </c>
      <c r="I1" s="1069" t="s">
        <v>1198</v>
      </c>
      <c r="J1" s="1069" t="s">
        <v>1199</v>
      </c>
      <c r="K1" s="1069" t="s">
        <v>1200</v>
      </c>
      <c r="L1" s="1069" t="s">
        <v>1201</v>
      </c>
      <c r="M1" s="1069"/>
      <c r="N1" s="1069" t="s">
        <v>1202</v>
      </c>
      <c r="O1" s="1069" t="s">
        <v>1203</v>
      </c>
      <c r="P1" s="1069" t="s">
        <v>1204</v>
      </c>
      <c r="Q1" s="1069" t="s">
        <v>1205</v>
      </c>
      <c r="R1" s="1069" t="s">
        <v>1206</v>
      </c>
      <c r="S1" s="1069" t="s">
        <v>1207</v>
      </c>
      <c r="T1" s="1069" t="s">
        <v>1208</v>
      </c>
      <c r="U1" s="1069" t="s">
        <v>1209</v>
      </c>
      <c r="V1" s="1069"/>
      <c r="W1" s="799" t="s">
        <v>1210</v>
      </c>
      <c r="X1" s="1069" t="s">
        <v>1211</v>
      </c>
      <c r="Y1" s="1069" t="s">
        <v>1212</v>
      </c>
      <c r="Z1" s="1069"/>
      <c r="AA1" s="1069" t="s">
        <v>1213</v>
      </c>
      <c r="AB1" s="1069"/>
      <c r="AC1" s="1069" t="s">
        <v>1214</v>
      </c>
      <c r="AD1" s="1069"/>
      <c r="AF1" s="1069" t="s">
        <v>1215</v>
      </c>
      <c r="AH1" s="1069" t="s">
        <v>1216</v>
      </c>
      <c r="AI1" s="1069" t="s">
        <v>1217</v>
      </c>
      <c r="AK1" s="1069" t="s">
        <v>1218</v>
      </c>
      <c r="AM1" s="1069" t="s">
        <v>1219</v>
      </c>
      <c r="AP1" s="1069" t="s">
        <v>1220</v>
      </c>
      <c r="AQ1" s="1069" t="s">
        <v>1221</v>
      </c>
      <c r="AS1" s="1069" t="s">
        <v>1222</v>
      </c>
      <c r="AU1" s="1069" t="s">
        <v>1223</v>
      </c>
      <c r="AW1" s="1069" t="s">
        <v>1224</v>
      </c>
      <c r="AX1" s="1069" t="s">
        <v>1225</v>
      </c>
      <c r="AZ1" s="1154" t="s">
        <v>1226</v>
      </c>
      <c r="BB1" s="1069" t="s">
        <v>1227</v>
      </c>
      <c r="BC1" s="1069"/>
      <c r="BE1" s="1069" t="s">
        <v>1228</v>
      </c>
      <c r="BF1" s="1069" t="s">
        <v>1229</v>
      </c>
      <c r="BH1" s="1071" t="s">
        <v>815</v>
      </c>
      <c r="BI1" s="1072"/>
      <c r="BJ1" s="1073" t="s">
        <v>1230</v>
      </c>
      <c r="BK1" s="1072"/>
      <c r="BL1" s="1074" t="s">
        <v>914</v>
      </c>
      <c r="BM1" s="1072"/>
      <c r="BN1" s="1075" t="s">
        <v>1231</v>
      </c>
      <c r="BS1" s="1429"/>
    </row>
    <row customHeight="1" ht="11.25">
      <c r="A2" s="1076" t="s">
        <v>1232</v>
      </c>
      <c r="B2" s="1077">
        <v>2000</v>
      </c>
      <c r="C2" s="1077">
        <v>2022</v>
      </c>
      <c r="D2" s="1077" t="s">
        <v>68</v>
      </c>
      <c r="E2" s="1078" t="s">
        <v>1233</v>
      </c>
      <c r="F2" s="1078" t="s">
        <v>1234</v>
      </c>
      <c r="G2" s="1078" t="s">
        <v>1235</v>
      </c>
      <c r="H2" s="1079" t="s">
        <v>57</v>
      </c>
      <c r="I2" s="1078" t="s">
        <v>111</v>
      </c>
      <c r="J2" s="1078" t="s">
        <v>1236</v>
      </c>
      <c r="K2" s="1080" t="s">
        <v>1237</v>
      </c>
      <c r="L2" s="1081"/>
      <c r="M2" s="1080">
        <v>1</v>
      </c>
      <c r="N2" s="1164" t="s">
        <v>1238</v>
      </c>
      <c r="O2" s="1079" t="s">
        <v>457</v>
      </c>
      <c r="P2" s="1082" t="s">
        <v>1239</v>
      </c>
      <c r="Q2" s="1083" t="s">
        <v>456</v>
      </c>
      <c r="R2" s="145" t="s">
        <v>1240</v>
      </c>
      <c r="S2" s="145" t="s">
        <v>1241</v>
      </c>
      <c r="T2" s="1084" t="s">
        <v>1242</v>
      </c>
      <c r="U2" s="1081" t="s">
        <v>1243</v>
      </c>
      <c r="V2" s="1085">
        <v>1</v>
      </c>
      <c r="W2" s="1086"/>
      <c r="X2" s="1086" t="s">
        <v>1244</v>
      </c>
      <c r="Y2" s="1077" t="s">
        <v>1245</v>
      </c>
      <c r="Z2" s="1087"/>
      <c r="AA2" s="1077" t="s">
        <v>1246</v>
      </c>
      <c r="AB2" s="1088" t="s">
        <v>1246</v>
      </c>
      <c r="AC2" s="1077" t="s">
        <v>1247</v>
      </c>
      <c r="AD2" s="1088" t="s">
        <v>1247</v>
      </c>
      <c r="AF2" s="1079" t="s">
        <v>1243</v>
      </c>
      <c r="AH2" s="1078" t="s">
        <v>1248</v>
      </c>
      <c r="AI2" s="1078" t="s">
        <v>1248</v>
      </c>
      <c r="AK2" s="1078" t="s">
        <v>1249</v>
      </c>
      <c r="AM2" s="1078" t="s">
        <v>1250</v>
      </c>
      <c r="AP2" s="1089" t="s">
        <v>1244</v>
      </c>
      <c r="AQ2" s="1090" t="s">
        <v>1244</v>
      </c>
      <c r="AS2" s="1077" t="s">
        <v>1251</v>
      </c>
      <c r="AU2" s="1122" t="s">
        <v>1252</v>
      </c>
      <c r="AW2" s="1122" t="s">
        <v>1253</v>
      </c>
      <c r="AX2" s="1122" t="s">
        <v>1253</v>
      </c>
      <c r="AZ2" s="1122" t="s">
        <v>55</v>
      </c>
      <c r="BB2" s="1122" t="s">
        <v>1254</v>
      </c>
      <c r="BC2" s="1122" t="s">
        <v>1255</v>
      </c>
      <c r="BE2" s="1122">
        <v>2000</v>
      </c>
      <c r="BF2" s="1122" t="s">
        <v>1256</v>
      </c>
    </row>
    <row customHeight="1" ht="11.25">
      <c r="A3" s="1076" t="s">
        <v>1257</v>
      </c>
      <c r="B3" s="1077">
        <v>2001</v>
      </c>
      <c r="C3" s="1077">
        <v>2023</v>
      </c>
      <c r="D3" s="1077" t="s">
        <v>19</v>
      </c>
      <c r="E3" s="1078" t="s">
        <v>1258</v>
      </c>
      <c r="F3" s="1078" t="s">
        <v>1259</v>
      </c>
      <c r="G3" s="1078" t="s">
        <v>1260</v>
      </c>
      <c r="H3" s="1079" t="s">
        <v>1261</v>
      </c>
      <c r="I3" s="1078" t="s">
        <v>112</v>
      </c>
      <c r="J3" s="1078" t="s">
        <v>564</v>
      </c>
      <c r="K3" s="1080" t="s">
        <v>1158</v>
      </c>
      <c r="L3" s="1081">
        <f>_xlfn.IFERROR(MATCH(K3,OFFER_METHOD,0),0)</f>
        <v>4</v>
      </c>
      <c r="M3" s="1080">
        <v>2</v>
      </c>
      <c r="N3" s="1164" t="s">
        <v>1262</v>
      </c>
      <c r="O3" s="1079" t="s">
        <v>1263</v>
      </c>
      <c r="P3" s="1082" t="s">
        <v>37</v>
      </c>
      <c r="Q3" s="1083" t="s">
        <v>1264</v>
      </c>
      <c r="R3" s="145" t="s">
        <v>1265</v>
      </c>
      <c r="S3" s="145" t="s">
        <v>1266</v>
      </c>
      <c r="T3" s="1084" t="s">
        <v>1267</v>
      </c>
      <c r="U3" s="1081" t="s">
        <v>1268</v>
      </c>
      <c r="V3" s="1085">
        <v>2</v>
      </c>
      <c r="W3" s="1086"/>
      <c r="X3" s="1086" t="s">
        <v>1269</v>
      </c>
      <c r="Y3" s="1077" t="s">
        <v>1245</v>
      </c>
      <c r="Z3" s="1087"/>
      <c r="AA3" s="1077" t="s">
        <v>1270</v>
      </c>
      <c r="AB3" s="1088" t="s">
        <v>1270</v>
      </c>
      <c r="AC3" s="1077" t="s">
        <v>1271</v>
      </c>
      <c r="AD3" s="1088" t="s">
        <v>1271</v>
      </c>
      <c r="AF3" s="1079" t="s">
        <v>1268</v>
      </c>
      <c r="AH3" s="1078" t="s">
        <v>1272</v>
      </c>
      <c r="AI3" s="1078" t="s">
        <v>1273</v>
      </c>
      <c r="AK3" s="1078" t="s">
        <v>1274</v>
      </c>
      <c r="AM3" s="1078" t="s">
        <v>1275</v>
      </c>
      <c r="AP3" s="1089" t="s">
        <v>162</v>
      </c>
      <c r="AQ3" s="1090" t="s">
        <v>162</v>
      </c>
      <c r="AS3" s="1077" t="s">
        <v>1276</v>
      </c>
      <c r="AU3" s="1122" t="s">
        <v>1277</v>
      </c>
      <c r="AW3" s="1122" t="s">
        <v>1278</v>
      </c>
      <c r="AX3" s="1122" t="s">
        <v>1278</v>
      </c>
      <c r="AZ3" s="1122" t="s">
        <v>1279</v>
      </c>
      <c r="BB3" s="1122" t="s">
        <v>1280</v>
      </c>
      <c r="BC3" s="1122" t="s">
        <v>1255</v>
      </c>
      <c r="BE3" s="1122">
        <v>2001</v>
      </c>
      <c r="BF3" s="1122" t="s">
        <v>1281</v>
      </c>
      <c r="BH3" s="1069" t="s">
        <v>1282</v>
      </c>
      <c r="BJ3" s="1069" t="s">
        <v>1283</v>
      </c>
      <c r="BL3" s="1069" t="s">
        <v>1284</v>
      </c>
      <c r="BN3" s="1069" t="s">
        <v>1285</v>
      </c>
      <c r="BR3" s="1069" t="s">
        <v>1286</v>
      </c>
      <c r="BS3" s="1430"/>
      <c r="BT3" s="1072"/>
      <c r="BU3" s="1069" t="s">
        <v>1287</v>
      </c>
      <c r="BV3" s="1072"/>
      <c r="BW3" s="1692"/>
      <c r="BX3" s="1694" t="s">
        <v>1288</v>
      </c>
      <c r="CA3" s="1069" t="s">
        <v>1289</v>
      </c>
    </row>
    <row customHeight="1" ht="11.25">
      <c r="A4" s="1076" t="s">
        <v>1290</v>
      </c>
      <c r="B4" s="1077">
        <v>2002</v>
      </c>
      <c r="C4" s="1077">
        <v>2024</v>
      </c>
      <c r="E4" s="1078" t="s">
        <v>1291</v>
      </c>
      <c r="F4" s="1078" t="s">
        <v>1292</v>
      </c>
      <c r="H4" s="1079" t="s">
        <v>1293</v>
      </c>
      <c r="I4" s="1078" t="s">
        <v>92</v>
      </c>
      <c r="J4" s="1078" t="s">
        <v>1294</v>
      </c>
      <c r="K4" s="1080" t="s">
        <v>1295</v>
      </c>
      <c r="L4" s="1081">
        <f>_xlfn.IFERROR(MATCH(K4,OFFER_METHOD,0),0)</f>
        <v>0</v>
      </c>
      <c r="M4" s="1080">
        <v>3</v>
      </c>
      <c r="N4" s="1164" t="s">
        <v>1296</v>
      </c>
      <c r="O4" s="1078" t="s">
        <v>1297</v>
      </c>
      <c r="Q4" s="1083" t="s">
        <v>1298</v>
      </c>
      <c r="R4" s="145" t="s">
        <v>1299</v>
      </c>
      <c r="S4" s="145" t="s">
        <v>1300</v>
      </c>
      <c r="T4" s="1084" t="s">
        <v>1301</v>
      </c>
      <c r="U4" s="1081" t="s">
        <v>1302</v>
      </c>
      <c r="V4" s="1085">
        <v>3</v>
      </c>
      <c r="W4" s="1086"/>
      <c r="X4" s="1086" t="s">
        <v>1303</v>
      </c>
      <c r="Y4" s="1077" t="s">
        <v>1245</v>
      </c>
      <c r="Z4" s="1093"/>
      <c r="AC4" s="1077" t="s">
        <v>1304</v>
      </c>
      <c r="AD4" s="1088" t="s">
        <v>1304</v>
      </c>
      <c r="AF4" s="1079" t="s">
        <v>1302</v>
      </c>
      <c r="AH4" s="1079" t="s">
        <v>1305</v>
      </c>
      <c r="AK4" s="1078" t="s">
        <v>1306</v>
      </c>
      <c r="AM4" s="1078" t="s">
        <v>1307</v>
      </c>
      <c r="AP4" s="1089" t="s">
        <v>1269</v>
      </c>
      <c r="AQ4" s="1090" t="s">
        <v>1269</v>
      </c>
      <c r="AS4" s="1077" t="s">
        <v>1308</v>
      </c>
      <c r="AU4" s="1122" t="s">
        <v>1309</v>
      </c>
      <c r="AW4" s="1122" t="s">
        <v>1310</v>
      </c>
      <c r="AX4" s="1122" t="s">
        <v>1310</v>
      </c>
      <c r="AZ4" s="1122" t="s">
        <v>1311</v>
      </c>
      <c r="BB4" s="1122" t="s">
        <v>1312</v>
      </c>
      <c r="BC4" s="1122" t="s">
        <v>1313</v>
      </c>
      <c r="BE4" s="1122">
        <v>2002</v>
      </c>
      <c r="BF4" s="1122" t="s">
        <v>1314</v>
      </c>
      <c r="BH4" s="1070" t="s">
        <v>1315</v>
      </c>
      <c r="BJ4" s="1070" t="s">
        <v>1315</v>
      </c>
      <c r="BL4" s="1070" t="s">
        <v>1315</v>
      </c>
      <c r="BN4" s="1070" t="s">
        <v>1315</v>
      </c>
      <c r="BQ4" s="1434" t="s">
        <v>1316</v>
      </c>
      <c r="BR4" s="1161" t="s">
        <v>1317</v>
      </c>
      <c r="BS4" s="276"/>
      <c r="BT4" s="1434" t="s">
        <v>1318</v>
      </c>
      <c r="BU4" s="1161" t="s">
        <v>1319</v>
      </c>
      <c r="BV4" s="1072"/>
      <c r="BW4" s="1699" t="s">
        <v>1320</v>
      </c>
      <c r="BX4" s="1693" t="s">
        <v>1321</v>
      </c>
      <c r="BZ4" s="1434" t="s">
        <v>1322</v>
      </c>
      <c r="CA4" s="1161" t="s">
        <v>1323</v>
      </c>
    </row>
    <row customHeight="1" ht="11.25">
      <c r="A5" s="1076" t="s">
        <v>1324</v>
      </c>
      <c r="B5" s="1077">
        <v>2003</v>
      </c>
      <c r="C5" s="1077">
        <v>2025</v>
      </c>
      <c r="E5" s="1078" t="s">
        <v>1325</v>
      </c>
      <c r="F5" s="1078" t="s">
        <v>1326</v>
      </c>
      <c r="H5" s="1079" t="s">
        <v>1327</v>
      </c>
      <c r="I5" s="1078" t="s">
        <v>93</v>
      </c>
      <c r="K5" s="1080" t="s">
        <v>1328</v>
      </c>
      <c r="L5" s="1081">
        <f>_xlfn.IFERROR(MATCH(K5,OFFER_METHOD,0),0)</f>
        <v>0</v>
      </c>
      <c r="M5" s="1080">
        <v>4</v>
      </c>
      <c r="N5" s="1094" t="s">
        <v>1329</v>
      </c>
      <c r="O5" s="1078" t="s">
        <v>1330</v>
      </c>
      <c r="Q5" s="1083" t="s">
        <v>1331</v>
      </c>
      <c r="R5" s="145" t="s">
        <v>1332</v>
      </c>
      <c r="T5" s="1079" t="s">
        <v>1333</v>
      </c>
      <c r="U5" s="1081" t="s">
        <v>1334</v>
      </c>
      <c r="V5" s="1085">
        <v>4</v>
      </c>
      <c r="W5" s="1086"/>
      <c r="X5" s="1086" t="s">
        <v>177</v>
      </c>
      <c r="Y5" s="1077" t="s">
        <v>1335</v>
      </c>
      <c r="Z5" s="1093">
        <v>1</v>
      </c>
      <c r="AF5" s="1079" t="s">
        <v>1336</v>
      </c>
      <c r="AH5" s="1078" t="s">
        <v>1337</v>
      </c>
      <c r="AK5" s="1078" t="s">
        <v>1338</v>
      </c>
      <c r="AM5" s="1078" t="s">
        <v>1339</v>
      </c>
      <c r="AP5" s="1089" t="s">
        <v>177</v>
      </c>
      <c r="AQ5" s="1090" t="s">
        <v>177</v>
      </c>
      <c r="AU5" s="1122" t="s">
        <v>1340</v>
      </c>
      <c r="AW5" s="1122" t="s">
        <v>1341</v>
      </c>
      <c r="AX5" s="1122" t="s">
        <v>1341</v>
      </c>
      <c r="AZ5" s="1122" t="s">
        <v>1342</v>
      </c>
      <c r="BB5" s="1122" t="s">
        <v>1343</v>
      </c>
      <c r="BC5" s="1122" t="s">
        <v>1344</v>
      </c>
      <c r="BE5" s="1122">
        <v>2003</v>
      </c>
      <c r="BF5" s="1122" t="s">
        <v>1345</v>
      </c>
      <c r="BH5" s="1070" t="s">
        <v>1346</v>
      </c>
      <c r="BJ5" s="1070" t="s">
        <v>1346</v>
      </c>
      <c r="BL5" s="1070" t="s">
        <v>1346</v>
      </c>
      <c r="BN5" s="1070" t="s">
        <v>1347</v>
      </c>
      <c r="BQ5" s="1283">
        <v>4213775</v>
      </c>
      <c r="BR5" s="1070" t="s">
        <v>1244</v>
      </c>
      <c r="BS5" s="1431"/>
      <c r="BT5" s="1283">
        <v>64236871</v>
      </c>
      <c r="BU5" s="1070" t="s">
        <v>238</v>
      </c>
      <c r="BV5" s="1072"/>
      <c r="BW5" s="1697">
        <v>4213767</v>
      </c>
      <c r="BX5" s="1695" t="s">
        <v>1348</v>
      </c>
      <c r="BZ5" s="1283">
        <v>64237509</v>
      </c>
      <c r="CA5" s="1297" t="s">
        <v>1349</v>
      </c>
    </row>
    <row customHeight="1" ht="11.25">
      <c r="A6" s="1076" t="s">
        <v>1350</v>
      </c>
      <c r="B6" s="1077">
        <v>2004</v>
      </c>
      <c r="C6" s="1077">
        <v>2026</v>
      </c>
      <c r="E6" s="1078" t="s">
        <v>1351</v>
      </c>
      <c r="F6" s="1095"/>
      <c r="H6" s="1079" t="s">
        <v>1352</v>
      </c>
      <c r="I6" s="1078" t="s">
        <v>113</v>
      </c>
      <c r="J6" s="1069" t="s">
        <v>1353</v>
      </c>
      <c r="L6" s="1081">
        <f>SUM(kind_of_control_method_filter)</f>
        <v>4</v>
      </c>
      <c r="N6" s="1094" t="s">
        <v>1354</v>
      </c>
      <c r="O6" s="1078" t="s">
        <v>1355</v>
      </c>
      <c r="R6" s="145" t="s">
        <v>456</v>
      </c>
      <c r="T6" s="1079" t="s">
        <v>1356</v>
      </c>
      <c r="U6" s="1081" t="s">
        <v>1336</v>
      </c>
      <c r="V6" s="1085">
        <v>5</v>
      </c>
      <c r="W6" s="1086"/>
      <c r="X6" s="1077" t="s">
        <v>183</v>
      </c>
      <c r="Y6" s="1077" t="s">
        <v>1357</v>
      </c>
      <c r="Z6" s="1093"/>
      <c r="AA6" s="1096"/>
      <c r="AH6" s="1078" t="s">
        <v>1358</v>
      </c>
      <c r="AK6" s="1078" t="s">
        <v>1359</v>
      </c>
      <c r="AM6" s="1078" t="s">
        <v>1360</v>
      </c>
      <c r="AP6" s="1089" t="s">
        <v>183</v>
      </c>
      <c r="AQ6" s="1090" t="s">
        <v>183</v>
      </c>
      <c r="AU6" s="1122" t="s">
        <v>1361</v>
      </c>
      <c r="AW6" s="1122" t="s">
        <v>1362</v>
      </c>
      <c r="AX6" s="1122" t="s">
        <v>1362</v>
      </c>
      <c r="BB6" s="1122" t="s">
        <v>1363</v>
      </c>
      <c r="BC6" s="1122" t="s">
        <v>1344</v>
      </c>
      <c r="BE6" s="1122">
        <v>2004</v>
      </c>
      <c r="BF6" s="1122" t="s">
        <v>1364</v>
      </c>
      <c r="BH6" s="1070" t="s">
        <v>1365</v>
      </c>
      <c r="BJ6" s="1070" t="s">
        <v>1366</v>
      </c>
      <c r="BL6" s="1070" t="s">
        <v>1366</v>
      </c>
      <c r="BN6" s="1070" t="s">
        <v>1367</v>
      </c>
      <c r="BQ6" s="1283">
        <v>4213784</v>
      </c>
      <c r="BR6" s="1297" t="s">
        <v>162</v>
      </c>
      <c r="BS6" s="1432"/>
      <c r="BT6" s="1283">
        <v>64236872</v>
      </c>
      <c r="BU6" s="1070" t="s">
        <v>243</v>
      </c>
      <c r="BV6" s="1072"/>
      <c r="BW6" s="1697">
        <v>4213768</v>
      </c>
      <c r="BX6" s="1695" t="s">
        <v>263</v>
      </c>
      <c r="BZ6" s="1283">
        <v>64237510</v>
      </c>
      <c r="CA6" s="1070" t="s">
        <v>1368</v>
      </c>
    </row>
    <row customHeight="1" ht="11.25">
      <c r="A7" s="1076" t="s">
        <v>1369</v>
      </c>
      <c r="B7" s="1077">
        <v>2005</v>
      </c>
      <c r="E7" s="1078" t="s">
        <v>1370</v>
      </c>
      <c r="F7" s="1095"/>
      <c r="H7" s="1079" t="s">
        <v>1371</v>
      </c>
      <c r="I7" s="1078" t="s">
        <v>94</v>
      </c>
      <c r="J7" s="1078" t="s">
        <v>1372</v>
      </c>
      <c r="N7" s="1098" t="s">
        <v>1373</v>
      </c>
      <c r="O7" s="1078" t="s">
        <v>1374</v>
      </c>
      <c r="U7" s="1081" t="s">
        <v>19</v>
      </c>
      <c r="V7" s="372" t="s">
        <v>94</v>
      </c>
      <c r="W7" s="1086"/>
      <c r="X7" s="1077" t="s">
        <v>189</v>
      </c>
      <c r="Y7" s="1077" t="s">
        <v>1335</v>
      </c>
      <c r="Z7" s="1093"/>
      <c r="AA7" s="1096"/>
      <c r="AH7" s="1078" t="s">
        <v>1375</v>
      </c>
      <c r="AK7" s="1078" t="s">
        <v>1376</v>
      </c>
      <c r="AM7" s="1078" t="s">
        <v>1377</v>
      </c>
      <c r="AP7" s="1089" t="s">
        <v>189</v>
      </c>
      <c r="AQ7" s="1090" t="s">
        <v>189</v>
      </c>
      <c r="AU7" s="1122" t="s">
        <v>1378</v>
      </c>
      <c r="AW7" s="1122" t="s">
        <v>1379</v>
      </c>
      <c r="AX7" s="1122" t="s">
        <v>1379</v>
      </c>
      <c r="AZ7" s="1069" t="s">
        <v>1380</v>
      </c>
      <c r="BB7" s="1122" t="s">
        <v>1381</v>
      </c>
      <c r="BC7" s="1122" t="s">
        <v>1344</v>
      </c>
      <c r="BE7" s="1122">
        <v>2005</v>
      </c>
      <c r="BF7" s="1122" t="s">
        <v>1382</v>
      </c>
      <c r="BH7" s="1070" t="s">
        <v>1383</v>
      </c>
      <c r="BJ7" s="1070" t="s">
        <v>1365</v>
      </c>
      <c r="BL7" s="1070" t="s">
        <v>1365</v>
      </c>
      <c r="BN7" s="1070" t="s">
        <v>1384</v>
      </c>
      <c r="BQ7" s="1283">
        <v>4213781</v>
      </c>
      <c r="BR7" s="1070" t="s">
        <v>1269</v>
      </c>
      <c r="BS7" s="1431"/>
      <c r="BT7" s="1283">
        <v>64236873</v>
      </c>
      <c r="BU7" s="1070" t="s">
        <v>248</v>
      </c>
      <c r="BV7" s="1072"/>
      <c r="BW7" s="1697">
        <v>4213769</v>
      </c>
      <c r="BX7" s="1695" t="s">
        <v>1385</v>
      </c>
      <c r="BZ7" s="1283">
        <v>64237511</v>
      </c>
      <c r="CA7" s="1070" t="s">
        <v>278</v>
      </c>
    </row>
    <row customHeight="1" ht="11.25">
      <c r="A8" s="1076" t="s">
        <v>1386</v>
      </c>
      <c r="B8" s="1077">
        <v>2006</v>
      </c>
      <c r="E8" s="1078" t="s">
        <v>1387</v>
      </c>
      <c r="F8" s="1095"/>
      <c r="H8" s="1079" t="s">
        <v>1388</v>
      </c>
      <c r="I8" s="1078" t="s">
        <v>95</v>
      </c>
      <c r="J8" s="1078" t="s">
        <v>1389</v>
      </c>
      <c r="N8" s="1165" t="s">
        <v>1390</v>
      </c>
      <c r="O8" s="1078" t="s">
        <v>1391</v>
      </c>
      <c r="V8" s="372" t="s">
        <v>95</v>
      </c>
      <c r="W8" s="1086"/>
      <c r="X8" s="1077" t="s">
        <v>195</v>
      </c>
      <c r="Y8" s="1077" t="s">
        <v>1335</v>
      </c>
      <c r="Z8" s="1093"/>
      <c r="AA8" s="1096"/>
      <c r="AK8" s="1078" t="s">
        <v>1392</v>
      </c>
      <c r="AP8" s="1089" t="s">
        <v>195</v>
      </c>
      <c r="AQ8" s="1090" t="s">
        <v>195</v>
      </c>
      <c r="AU8" s="1122" t="s">
        <v>1393</v>
      </c>
      <c r="AW8" s="1122" t="s">
        <v>1394</v>
      </c>
      <c r="AX8" s="1122" t="s">
        <v>1394</v>
      </c>
      <c r="AZ8" s="1122" t="s">
        <v>1395</v>
      </c>
      <c r="BB8" s="1122" t="s">
        <v>1396</v>
      </c>
      <c r="BC8" s="1122" t="s">
        <v>1344</v>
      </c>
      <c r="BE8" s="1122">
        <v>2006</v>
      </c>
      <c r="BF8" s="1122" t="s">
        <v>1397</v>
      </c>
      <c r="BH8" s="1070" t="s">
        <v>1398</v>
      </c>
      <c r="BJ8" s="1070" t="s">
        <v>1399</v>
      </c>
      <c r="BL8" s="1070" t="s">
        <v>1399</v>
      </c>
      <c r="BN8" s="1070" t="s">
        <v>1400</v>
      </c>
      <c r="BQ8" s="1283">
        <v>4213776</v>
      </c>
      <c r="BR8" s="1070" t="s">
        <v>177</v>
      </c>
      <c r="BS8" s="1431"/>
      <c r="BT8" s="1283">
        <v>64236874</v>
      </c>
      <c r="BU8" s="1297" t="s">
        <v>1401</v>
      </c>
      <c r="BV8" s="1072"/>
      <c r="BW8" s="1697">
        <v>4213770</v>
      </c>
      <c r="BX8" s="1698" t="s">
        <v>1402</v>
      </c>
      <c r="BZ8" s="1283">
        <v>64237512</v>
      </c>
      <c r="CA8" s="1070" t="s">
        <v>273</v>
      </c>
    </row>
    <row customHeight="1" ht="11.25">
      <c r="A9" s="1076" t="s">
        <v>1403</v>
      </c>
      <c r="B9" s="1077">
        <v>2007</v>
      </c>
      <c r="E9" s="1078" t="s">
        <v>1404</v>
      </c>
      <c r="F9" s="1095"/>
      <c r="G9" s="1069" t="s">
        <v>1405</v>
      </c>
      <c r="H9" s="1069" t="s">
        <v>1406</v>
      </c>
      <c r="I9" s="1078" t="s">
        <v>114</v>
      </c>
      <c r="O9" s="1078" t="s">
        <v>1407</v>
      </c>
      <c r="V9" s="372" t="s">
        <v>114</v>
      </c>
      <c r="W9" s="1086"/>
      <c r="X9" s="1077" t="s">
        <v>201</v>
      </c>
      <c r="Y9" s="1077" t="s">
        <v>1245</v>
      </c>
      <c r="Z9" s="1093">
        <v>1</v>
      </c>
      <c r="AA9" s="1096"/>
      <c r="AK9" s="1078" t="s">
        <v>1408</v>
      </c>
      <c r="AP9" s="1089" t="s">
        <v>1409</v>
      </c>
      <c r="AQ9" s="1090" t="s">
        <v>1409</v>
      </c>
      <c r="AW9" s="1122" t="s">
        <v>1410</v>
      </c>
      <c r="AX9" s="1122" t="s">
        <v>1410</v>
      </c>
      <c r="AZ9" s="1122" t="s">
        <v>1411</v>
      </c>
      <c r="BB9" s="1122" t="s">
        <v>1412</v>
      </c>
      <c r="BC9" s="1122" t="s">
        <v>1344</v>
      </c>
      <c r="BE9" s="1122">
        <v>2007</v>
      </c>
      <c r="BF9" s="1122" t="s">
        <v>1413</v>
      </c>
      <c r="BH9" s="1070" t="s">
        <v>1414</v>
      </c>
      <c r="BJ9" s="1070" t="s">
        <v>1415</v>
      </c>
      <c r="BL9" s="1070" t="s">
        <v>1415</v>
      </c>
      <c r="BN9" s="1070" t="s">
        <v>1416</v>
      </c>
      <c r="BQ9" s="1283">
        <v>4213777</v>
      </c>
      <c r="BR9" s="1070" t="s">
        <v>183</v>
      </c>
      <c r="BS9" s="1431"/>
      <c r="BT9" s="1283">
        <v>64236875</v>
      </c>
      <c r="BU9" s="1070" t="s">
        <v>253</v>
      </c>
      <c r="BV9" s="1072"/>
      <c r="BW9" s="1692"/>
      <c r="BX9" s="1692"/>
    </row>
    <row customHeight="1" ht="11.25">
      <c r="A10" s="1076" t="s">
        <v>1417</v>
      </c>
      <c r="B10" s="1077">
        <v>2008</v>
      </c>
      <c r="E10" s="1078" t="s">
        <v>1418</v>
      </c>
      <c r="F10" s="1095"/>
      <c r="G10" s="1078" t="s">
        <v>1419</v>
      </c>
      <c r="H10" s="1078" t="s">
        <v>1420</v>
      </c>
      <c r="I10" s="1078" t="s">
        <v>150</v>
      </c>
      <c r="J10" s="1069" t="s">
        <v>1421</v>
      </c>
      <c r="K10" s="1069" t="s">
        <v>1422</v>
      </c>
      <c r="O10" s="1078" t="s">
        <v>1423</v>
      </c>
      <c r="V10" s="373" t="s">
        <v>150</v>
      </c>
      <c r="W10" s="1099"/>
      <c r="X10" s="1099" t="s">
        <v>1424</v>
      </c>
      <c r="Y10" s="1100" t="s">
        <v>1425</v>
      </c>
      <c r="Z10" s="1093"/>
      <c r="AP10" s="1089" t="s">
        <v>1424</v>
      </c>
      <c r="AQ10" s="1090" t="s">
        <v>1424</v>
      </c>
      <c r="AW10" s="1122" t="s">
        <v>1426</v>
      </c>
      <c r="AX10" s="1122" t="s">
        <v>1426</v>
      </c>
      <c r="AZ10" s="1122" t="s">
        <v>1427</v>
      </c>
      <c r="BB10" s="1122" t="s">
        <v>1428</v>
      </c>
      <c r="BC10" s="1122" t="s">
        <v>1344</v>
      </c>
      <c r="BE10" s="1122">
        <v>2008</v>
      </c>
      <c r="BF10" s="1122" t="s">
        <v>1429</v>
      </c>
      <c r="BH10" s="1070" t="s">
        <v>1430</v>
      </c>
      <c r="BJ10" s="1070" t="s">
        <v>1431</v>
      </c>
      <c r="BL10" s="1070" t="s">
        <v>1431</v>
      </c>
      <c r="BN10" s="1070" t="s">
        <v>1432</v>
      </c>
      <c r="BQ10" s="1283">
        <v>4213778</v>
      </c>
      <c r="BR10" s="1070" t="s">
        <v>189</v>
      </c>
      <c r="BS10" s="1431"/>
      <c r="BT10" s="1283">
        <v>64236876</v>
      </c>
      <c r="BU10" s="1070" t="s">
        <v>233</v>
      </c>
      <c r="BV10" s="1072"/>
      <c r="BW10" s="1692"/>
      <c r="BX10" s="1692"/>
    </row>
    <row customHeight="1" ht="11.25">
      <c r="A11" s="1076" t="s">
        <v>1433</v>
      </c>
      <c r="B11" s="1077">
        <v>2009</v>
      </c>
      <c r="E11" s="1078" t="s">
        <v>1434</v>
      </c>
      <c r="F11" s="1095"/>
      <c r="G11" s="1078" t="s">
        <v>1435</v>
      </c>
      <c r="H11" s="1078" t="s">
        <v>1436</v>
      </c>
      <c r="I11" s="1078" t="s">
        <v>151</v>
      </c>
      <c r="J11" s="1079" t="s">
        <v>1437</v>
      </c>
      <c r="K11" s="1101" t="s">
        <v>1438</v>
      </c>
      <c r="O11" s="1079" t="s">
        <v>1439</v>
      </c>
      <c r="V11" s="372" t="s">
        <v>151</v>
      </c>
      <c r="W11" s="277"/>
      <c r="X11" s="1086" t="s">
        <v>1409</v>
      </c>
      <c r="Y11" s="1077" t="s">
        <v>1440</v>
      </c>
      <c r="Z11" s="1093"/>
      <c r="AP11" s="1089" t="s">
        <v>201</v>
      </c>
      <c r="AQ11" s="1091" t="s">
        <v>201</v>
      </c>
      <c r="AW11" s="1122" t="s">
        <v>1441</v>
      </c>
      <c r="AX11" s="1122" t="s">
        <v>1441</v>
      </c>
      <c r="AZ11" s="1122" t="s">
        <v>1442</v>
      </c>
      <c r="BB11" s="1122" t="s">
        <v>1443</v>
      </c>
      <c r="BC11" s="1122" t="s">
        <v>1344</v>
      </c>
      <c r="BE11" s="1122">
        <v>2009</v>
      </c>
      <c r="BF11" s="1122" t="s">
        <v>1444</v>
      </c>
      <c r="BH11" s="1070" t="s">
        <v>1445</v>
      </c>
      <c r="BJ11" s="1070" t="s">
        <v>1414</v>
      </c>
      <c r="BL11" s="1070" t="s">
        <v>1414</v>
      </c>
      <c r="BN11" s="1070" t="s">
        <v>1446</v>
      </c>
      <c r="BQ11" s="1283">
        <v>4213780</v>
      </c>
      <c r="BR11" s="1070" t="s">
        <v>195</v>
      </c>
      <c r="BS11" s="1431"/>
      <c r="BW11" s="1692"/>
      <c r="BX11" s="1692"/>
    </row>
    <row customHeight="1" ht="11.25">
      <c r="A12" s="1076" t="s">
        <v>1447</v>
      </c>
      <c r="B12" s="1077">
        <v>2010</v>
      </c>
      <c r="E12" s="1078" t="s">
        <v>1448</v>
      </c>
      <c r="F12" s="1095"/>
      <c r="G12" s="1078" t="s">
        <v>1436</v>
      </c>
      <c r="I12" s="1078" t="s">
        <v>152</v>
      </c>
      <c r="J12" s="1079" t="s">
        <v>1449</v>
      </c>
      <c r="K12" s="1101" t="s">
        <v>1450</v>
      </c>
      <c r="O12" s="1079" t="s">
        <v>456</v>
      </c>
      <c r="V12" s="372" t="s">
        <v>152</v>
      </c>
      <c r="W12" s="1091"/>
      <c r="X12" s="1086" t="s">
        <v>1451</v>
      </c>
      <c r="Y12" s="1077" t="s">
        <v>1245</v>
      </c>
      <c r="AP12" s="1089"/>
      <c r="AW12" s="1122" t="s">
        <v>151</v>
      </c>
      <c r="AX12" s="1122" t="s">
        <v>151</v>
      </c>
      <c r="AZ12" s="1122" t="s">
        <v>1452</v>
      </c>
      <c r="BB12" s="1122" t="s">
        <v>1453</v>
      </c>
      <c r="BC12" s="1122" t="s">
        <v>1344</v>
      </c>
      <c r="BE12" s="1122">
        <v>2010</v>
      </c>
      <c r="BF12" s="1122" t="s">
        <v>1454</v>
      </c>
      <c r="BH12" s="1070" t="s">
        <v>1455</v>
      </c>
      <c r="BJ12" s="1070" t="s">
        <v>1456</v>
      </c>
      <c r="BL12" s="1070" t="s">
        <v>1456</v>
      </c>
      <c r="BN12" s="1070" t="s">
        <v>1457</v>
      </c>
      <c r="BQ12" s="1283">
        <v>4213779</v>
      </c>
      <c r="BR12" s="1070" t="s">
        <v>1409</v>
      </c>
      <c r="BS12" s="1431"/>
      <c r="BT12" s="1072"/>
      <c r="BU12" s="1072"/>
      <c r="BV12" s="1072"/>
      <c r="BW12" s="1692"/>
      <c r="BX12" s="1692"/>
    </row>
    <row customHeight="1" ht="11.25">
      <c r="A13" s="1076" t="s">
        <v>1458</v>
      </c>
      <c r="B13" s="1077">
        <v>2011</v>
      </c>
      <c r="E13" s="1078" t="s">
        <v>1459</v>
      </c>
      <c r="F13" s="1095"/>
      <c r="I13" s="1078" t="s">
        <v>153</v>
      </c>
      <c r="K13" s="1101" t="s">
        <v>1408</v>
      </c>
      <c r="V13" s="372" t="s">
        <v>153</v>
      </c>
      <c r="W13" s="1091"/>
      <c r="X13" s="1091"/>
      <c r="Y13" s="1091"/>
      <c r="AW13" s="1122" t="s">
        <v>152</v>
      </c>
      <c r="AX13" s="1122" t="s">
        <v>152</v>
      </c>
      <c r="BB13" s="1122" t="s">
        <v>1460</v>
      </c>
      <c r="BC13" s="1122" t="s">
        <v>1461</v>
      </c>
      <c r="BE13" s="1122">
        <v>2011</v>
      </c>
      <c r="BF13" s="1122" t="s">
        <v>1462</v>
      </c>
      <c r="BH13" s="1070" t="s">
        <v>1463</v>
      </c>
      <c r="BJ13" s="1070" t="s">
        <v>1445</v>
      </c>
      <c r="BL13" s="1070" t="s">
        <v>1445</v>
      </c>
      <c r="BN13" s="1070" t="s">
        <v>1464</v>
      </c>
      <c r="BQ13" s="1283">
        <v>4213783</v>
      </c>
      <c r="BR13" s="1070" t="s">
        <v>1424</v>
      </c>
      <c r="BS13" s="1431"/>
      <c r="BT13" s="1072"/>
      <c r="BU13" s="1072"/>
      <c r="BV13" s="1072"/>
      <c r="BW13" s="1696"/>
      <c r="BX13" s="1692"/>
    </row>
    <row customHeight="1" ht="11.25">
      <c r="A14" s="1076" t="s">
        <v>1465</v>
      </c>
      <c r="B14" s="1077">
        <v>2012</v>
      </c>
      <c r="I14" s="1078" t="s">
        <v>154</v>
      </c>
      <c r="J14" s="1069" t="s">
        <v>1466</v>
      </c>
      <c r="N14" s="1069" t="s">
        <v>1467</v>
      </c>
      <c r="V14" s="1085">
        <v>13</v>
      </c>
      <c r="W14" s="1086"/>
      <c r="X14" s="1086" t="s">
        <v>162</v>
      </c>
      <c r="Y14" s="1077" t="s">
        <v>1245</v>
      </c>
      <c r="AW14" s="1122" t="s">
        <v>153</v>
      </c>
      <c r="AX14" s="1122" t="s">
        <v>153</v>
      </c>
      <c r="AZ14" s="1069" t="s">
        <v>1468</v>
      </c>
      <c r="BB14" s="1122" t="s">
        <v>1469</v>
      </c>
      <c r="BC14" s="1122" t="s">
        <v>1461</v>
      </c>
      <c r="BE14" s="1122">
        <v>2012</v>
      </c>
      <c r="BH14" s="1070" t="s">
        <v>1384</v>
      </c>
      <c r="BJ14" s="1219" t="s">
        <v>1470</v>
      </c>
      <c r="BL14" s="1219" t="s">
        <v>1470</v>
      </c>
      <c r="BN14" s="1070" t="s">
        <v>1471</v>
      </c>
      <c r="BQ14" s="1283">
        <v>4213782</v>
      </c>
      <c r="BR14" s="1070" t="s">
        <v>201</v>
      </c>
      <c r="BS14" s="1431"/>
      <c r="BT14" s="1072"/>
      <c r="BU14" s="1072"/>
      <c r="BV14" s="1072"/>
      <c r="BW14" s="1696"/>
      <c r="BX14" s="1692"/>
    </row>
    <row customHeight="1" ht="19.5">
      <c r="A15" s="1076" t="s">
        <v>1472</v>
      </c>
      <c r="B15" s="1077">
        <v>2013</v>
      </c>
      <c r="E15" s="1700" t="s">
        <v>1473</v>
      </c>
      <c r="G15" s="1069" t="s">
        <v>1474</v>
      </c>
      <c r="H15" s="1069" t="s">
        <v>1475</v>
      </c>
      <c r="I15" s="1080" t="s">
        <v>155</v>
      </c>
      <c r="J15" s="1091" t="s">
        <v>591</v>
      </c>
      <c r="N15" s="1160" t="s">
        <v>1476</v>
      </c>
      <c r="X15" s="1089"/>
      <c r="AW15" s="1122" t="s">
        <v>154</v>
      </c>
      <c r="AX15" s="1122" t="s">
        <v>154</v>
      </c>
      <c r="AZ15" s="1122" t="s">
        <v>1395</v>
      </c>
      <c r="BB15" s="1122" t="s">
        <v>1477</v>
      </c>
      <c r="BC15" s="1122" t="s">
        <v>1461</v>
      </c>
      <c r="BE15" s="1122">
        <v>2013</v>
      </c>
      <c r="BH15" s="1070" t="s">
        <v>1400</v>
      </c>
      <c r="BJ15" s="1219" t="s">
        <v>1478</v>
      </c>
      <c r="BL15" s="1219" t="s">
        <v>1478</v>
      </c>
      <c r="BN15" s="1070" t="s">
        <v>1479</v>
      </c>
      <c r="BR15" s="1072"/>
      <c r="BS15" s="1433"/>
      <c r="BT15" s="1072"/>
      <c r="BU15" s="1072"/>
      <c r="BV15" s="1072"/>
      <c r="BW15" s="1696"/>
      <c r="BX15" s="1692"/>
    </row>
    <row customHeight="1" ht="21">
      <c r="A16" s="1872" t="s">
        <v>1480</v>
      </c>
      <c r="B16" s="1077">
        <v>2014</v>
      </c>
      <c r="E16" s="1701" t="s">
        <v>1481</v>
      </c>
      <c r="G16" s="1078" t="s">
        <v>1482</v>
      </c>
      <c r="H16" s="1078" t="s">
        <v>1483</v>
      </c>
      <c r="I16" s="1080" t="s">
        <v>1484</v>
      </c>
      <c r="J16" s="1091" t="s">
        <v>564</v>
      </c>
      <c r="N16" s="1160" t="s">
        <v>1485</v>
      </c>
      <c r="AW16" s="1122" t="s">
        <v>155</v>
      </c>
      <c r="AX16" s="1122" t="s">
        <v>155</v>
      </c>
      <c r="AZ16" s="1122" t="s">
        <v>1411</v>
      </c>
      <c r="BB16" s="1122" t="s">
        <v>1486</v>
      </c>
      <c r="BC16" s="1122" t="s">
        <v>1461</v>
      </c>
      <c r="BE16" s="1122">
        <v>2014</v>
      </c>
      <c r="BH16" s="1070" t="s">
        <v>1416</v>
      </c>
      <c r="BJ16" s="1219" t="s">
        <v>1487</v>
      </c>
      <c r="BL16" s="1219" t="s">
        <v>1487</v>
      </c>
      <c r="BN16" s="1070" t="s">
        <v>1488</v>
      </c>
      <c r="BR16" s="1072"/>
      <c r="BS16" s="1433"/>
      <c r="BT16" s="1072"/>
      <c r="BU16" s="1072"/>
      <c r="BV16" s="1072"/>
      <c r="BW16" s="1696"/>
      <c r="BX16" s="1692"/>
    </row>
    <row customHeight="1" ht="21">
      <c r="A17" s="1076" t="s">
        <v>1489</v>
      </c>
      <c r="B17" s="1077">
        <v>2015</v>
      </c>
      <c r="G17" s="1078" t="s">
        <v>1436</v>
      </c>
      <c r="H17" s="1078" t="s">
        <v>1436</v>
      </c>
      <c r="I17" s="1078" t="s">
        <v>1490</v>
      </c>
      <c r="N17" s="1160" t="s">
        <v>1491</v>
      </c>
      <c r="X17" s="1089"/>
      <c r="AW17" s="1122" t="s">
        <v>1484</v>
      </c>
      <c r="AX17" s="1122" t="s">
        <v>1484</v>
      </c>
      <c r="AZ17" s="1122" t="s">
        <v>1492</v>
      </c>
      <c r="BB17" s="1122" t="s">
        <v>1493</v>
      </c>
      <c r="BC17" s="1122" t="s">
        <v>1344</v>
      </c>
      <c r="BE17" s="1122">
        <v>2015</v>
      </c>
      <c r="BH17" s="1070" t="s">
        <v>1432</v>
      </c>
      <c r="BJ17" s="1219" t="s">
        <v>1494</v>
      </c>
      <c r="BL17" s="1219" t="s">
        <v>1494</v>
      </c>
      <c r="BN17" s="1070" t="s">
        <v>1495</v>
      </c>
      <c r="BR17" s="1069" t="s">
        <v>1286</v>
      </c>
      <c r="BS17" s="1430"/>
      <c r="BU17" s="1069" t="s">
        <v>1496</v>
      </c>
      <c r="BV17" s="1072"/>
      <c r="BW17" s="1692"/>
      <c r="BX17" s="1694" t="s">
        <v>1497</v>
      </c>
      <c r="CA17" s="1069" t="s">
        <v>1498</v>
      </c>
      <c r="CD17" s="1069" t="s">
        <v>1499</v>
      </c>
    </row>
    <row customHeight="1" ht="21">
      <c r="A18" s="1076" t="s">
        <v>1500</v>
      </c>
      <c r="B18" s="1077">
        <v>2016</v>
      </c>
      <c r="E18" s="2007" t="s">
        <v>1501</v>
      </c>
      <c r="I18" s="1078" t="s">
        <v>1502</v>
      </c>
      <c r="N18" s="1160" t="s">
        <v>1503</v>
      </c>
      <c r="X18" s="1089"/>
      <c r="AW18" s="1122" t="s">
        <v>1490</v>
      </c>
      <c r="AX18" s="1122" t="s">
        <v>1490</v>
      </c>
      <c r="BB18" s="1122" t="s">
        <v>1504</v>
      </c>
      <c r="BC18" s="1122" t="s">
        <v>1344</v>
      </c>
      <c r="BE18" s="1122">
        <v>2016</v>
      </c>
      <c r="BH18" s="1070" t="s">
        <v>1446</v>
      </c>
      <c r="BJ18" s="1219" t="s">
        <v>1505</v>
      </c>
      <c r="BL18" s="1219" t="s">
        <v>1505</v>
      </c>
      <c r="BN18" s="1070" t="s">
        <v>1506</v>
      </c>
      <c r="BQ18" s="1434" t="s">
        <v>1316</v>
      </c>
      <c r="BR18" s="1161" t="s">
        <v>1317</v>
      </c>
      <c r="BS18" s="276"/>
      <c r="BT18" s="1434" t="s">
        <v>1507</v>
      </c>
      <c r="BU18" s="1161" t="s">
        <v>1508</v>
      </c>
      <c r="BV18" s="1072"/>
      <c r="BW18" s="1699" t="s">
        <v>1509</v>
      </c>
      <c r="BX18" s="1693" t="s">
        <v>1510</v>
      </c>
      <c r="BZ18" s="1434" t="s">
        <v>1511</v>
      </c>
      <c r="CA18" s="1161" t="s">
        <v>1512</v>
      </c>
      <c r="CC18" s="1434" t="s">
        <v>1513</v>
      </c>
      <c r="CD18" s="1161" t="s">
        <v>1514</v>
      </c>
    </row>
    <row customHeight="1" ht="21">
      <c r="A19" s="1872" t="s">
        <v>1515</v>
      </c>
      <c r="B19" s="1077">
        <v>2017</v>
      </c>
      <c r="E19" s="1076" t="s">
        <v>176</v>
      </c>
      <c r="I19" s="1078" t="s">
        <v>1516</v>
      </c>
      <c r="N19" s="1160" t="s">
        <v>1517</v>
      </c>
      <c r="X19" s="1089"/>
      <c r="AW19" s="1122" t="s">
        <v>1502</v>
      </c>
      <c r="AX19" s="1122" t="s">
        <v>1502</v>
      </c>
      <c r="AZ19" s="1069" t="s">
        <v>1518</v>
      </c>
      <c r="BB19" s="1122" t="s">
        <v>1519</v>
      </c>
      <c r="BC19" s="1122" t="s">
        <v>1344</v>
      </c>
      <c r="BE19" s="1122">
        <v>2017</v>
      </c>
      <c r="BH19" s="1070" t="s">
        <v>1520</v>
      </c>
      <c r="BJ19" s="1219" t="s">
        <v>1521</v>
      </c>
      <c r="BL19" s="1219" t="s">
        <v>1521</v>
      </c>
      <c r="BQ19" s="1283">
        <v>4190064</v>
      </c>
      <c r="BR19" s="1070" t="s">
        <v>1522</v>
      </c>
      <c r="BS19" s="1431"/>
      <c r="BT19" s="1283">
        <v>4189671</v>
      </c>
      <c r="BU19" s="1070" t="s">
        <v>1523</v>
      </c>
      <c r="BV19" s="1072"/>
      <c r="BW19" s="1697">
        <v>4189706</v>
      </c>
      <c r="BX19" s="1695" t="s">
        <v>1524</v>
      </c>
      <c r="BZ19" s="1283">
        <v>4189714</v>
      </c>
      <c r="CA19" s="1070" t="s">
        <v>1525</v>
      </c>
      <c r="CC19" s="1283">
        <v>4189708</v>
      </c>
      <c r="CD19" s="1070" t="s">
        <v>1526</v>
      </c>
    </row>
    <row customHeight="1" ht="21">
      <c r="A20" s="1076" t="s">
        <v>1527</v>
      </c>
      <c r="B20" s="1077">
        <v>2018</v>
      </c>
      <c r="E20" s="1076" t="s">
        <v>162</v>
      </c>
      <c r="I20" s="1078" t="s">
        <v>1528</v>
      </c>
      <c r="N20" s="1160" t="s">
        <v>1529</v>
      </c>
      <c r="AW20" s="1122" t="s">
        <v>1516</v>
      </c>
      <c r="AX20" s="1122" t="s">
        <v>1516</v>
      </c>
      <c r="AZ20" s="1122" t="s">
        <v>1530</v>
      </c>
      <c r="BB20" s="1122" t="s">
        <v>1531</v>
      </c>
      <c r="BC20" s="1122" t="s">
        <v>1461</v>
      </c>
      <c r="BE20" s="1122">
        <v>2018</v>
      </c>
      <c r="BH20" s="1070" t="s">
        <v>1457</v>
      </c>
      <c r="BJ20" s="1070" t="s">
        <v>1384</v>
      </c>
      <c r="BL20" s="1070" t="s">
        <v>1384</v>
      </c>
      <c r="BQ20" s="1283">
        <v>4190065</v>
      </c>
      <c r="BR20" s="1070" t="s">
        <v>1532</v>
      </c>
      <c r="BS20" s="1431"/>
      <c r="BT20" s="1283">
        <v>4189672</v>
      </c>
      <c r="BU20" s="1070" t="s">
        <v>1533</v>
      </c>
      <c r="BV20" s="1072"/>
      <c r="BW20" s="1697">
        <v>4189705</v>
      </c>
      <c r="BX20" s="1695" t="s">
        <v>1534</v>
      </c>
      <c r="BZ20" s="1283">
        <v>4189713</v>
      </c>
      <c r="CA20" s="1070" t="s">
        <v>1534</v>
      </c>
      <c r="CC20" s="1283">
        <v>4189709</v>
      </c>
      <c r="CD20" s="1070" t="s">
        <v>1535</v>
      </c>
    </row>
    <row customHeight="1" ht="21">
      <c r="A21" s="1076" t="s">
        <v>1536</v>
      </c>
      <c r="B21" s="1077">
        <v>2019</v>
      </c>
      <c r="I21" s="1078" t="s">
        <v>1537</v>
      </c>
      <c r="N21" s="1160" t="s">
        <v>1538</v>
      </c>
      <c r="AW21" s="1122" t="s">
        <v>1528</v>
      </c>
      <c r="AX21" s="1122" t="s">
        <v>1528</v>
      </c>
      <c r="AZ21" s="1122" t="s">
        <v>1539</v>
      </c>
      <c r="BB21" s="1122" t="s">
        <v>1540</v>
      </c>
      <c r="BC21" s="1122" t="s">
        <v>1344</v>
      </c>
      <c r="BE21" s="1122">
        <v>2019</v>
      </c>
      <c r="BH21" s="1070" t="s">
        <v>1464</v>
      </c>
      <c r="BJ21" s="1070" t="s">
        <v>1400</v>
      </c>
      <c r="BL21" s="1070" t="s">
        <v>1400</v>
      </c>
      <c r="BQ21" s="1283">
        <v>4190066</v>
      </c>
      <c r="BR21" s="1070" t="s">
        <v>1541</v>
      </c>
      <c r="BS21" s="1431"/>
      <c r="BT21" s="1283">
        <v>4189673</v>
      </c>
      <c r="BU21" s="1070" t="s">
        <v>1542</v>
      </c>
      <c r="BV21" s="1072"/>
      <c r="BW21" s="1697">
        <v>4189707</v>
      </c>
      <c r="BX21" s="1695" t="s">
        <v>1543</v>
      </c>
      <c r="BZ21" s="1283">
        <v>4189712</v>
      </c>
      <c r="CA21" s="1070" t="s">
        <v>1544</v>
      </c>
      <c r="CC21" s="1283">
        <v>4189710</v>
      </c>
      <c r="CD21" s="1070" t="s">
        <v>1545</v>
      </c>
    </row>
    <row customHeight="1" ht="21">
      <c r="A22" s="1076" t="s">
        <v>1546</v>
      </c>
      <c r="B22" s="1077">
        <v>2020</v>
      </c>
      <c r="N22" s="1160" t="s">
        <v>1547</v>
      </c>
      <c r="AW22" s="1122" t="s">
        <v>1537</v>
      </c>
      <c r="AX22" s="1122" t="s">
        <v>1537</v>
      </c>
      <c r="AZ22" s="1122" t="s">
        <v>1548</v>
      </c>
      <c r="BB22" s="1122" t="s">
        <v>1549</v>
      </c>
      <c r="BC22" s="1122" t="s">
        <v>1344</v>
      </c>
      <c r="BE22" s="1122">
        <v>2020</v>
      </c>
      <c r="BH22" s="1070" t="s">
        <v>1471</v>
      </c>
      <c r="BJ22" s="1070" t="s">
        <v>1416</v>
      </c>
      <c r="BL22" s="1070" t="s">
        <v>1416</v>
      </c>
      <c r="BQ22" s="1283">
        <v>4190067</v>
      </c>
      <c r="BR22" s="1070" t="s">
        <v>1550</v>
      </c>
      <c r="BS22" s="1431"/>
      <c r="BT22" s="1283">
        <v>4189674</v>
      </c>
      <c r="BU22" s="1070" t="s">
        <v>1551</v>
      </c>
      <c r="BV22" s="1072"/>
      <c r="BW22" s="1072"/>
      <c r="CC22" s="1283">
        <v>4189711</v>
      </c>
      <c r="CD22" s="1070" t="s">
        <v>302</v>
      </c>
    </row>
    <row customHeight="1" ht="21">
      <c r="A23" s="1076" t="s">
        <v>1552</v>
      </c>
      <c r="B23" s="1077">
        <v>2021</v>
      </c>
      <c r="AW23" s="1122" t="s">
        <v>1553</v>
      </c>
      <c r="AX23" s="1122" t="s">
        <v>1553</v>
      </c>
      <c r="AZ23" s="1122" t="s">
        <v>1554</v>
      </c>
      <c r="BB23" s="1122" t="s">
        <v>1555</v>
      </c>
      <c r="BC23" s="1122" t="s">
        <v>1255</v>
      </c>
      <c r="BE23" s="1122">
        <v>2021</v>
      </c>
      <c r="BH23" s="1070" t="s">
        <v>1479</v>
      </c>
      <c r="BJ23" s="1070" t="s">
        <v>1432</v>
      </c>
      <c r="BL23" s="1070" t="s">
        <v>1432</v>
      </c>
      <c r="BQ23" s="1283">
        <v>4190068</v>
      </c>
      <c r="BR23" s="1070" t="s">
        <v>1556</v>
      </c>
      <c r="BS23" s="1431"/>
      <c r="BT23" s="1283">
        <v>4189675</v>
      </c>
      <c r="BU23" s="1070" t="s">
        <v>1557</v>
      </c>
      <c r="BV23" s="1072"/>
      <c r="BW23" s="1072"/>
      <c r="CC23" s="1283">
        <v>5110778</v>
      </c>
      <c r="CD23" s="1070" t="s">
        <v>1558</v>
      </c>
    </row>
    <row customHeight="1" ht="21">
      <c r="A24" s="1076" t="s">
        <v>1559</v>
      </c>
      <c r="B24" s="1077">
        <v>2022</v>
      </c>
      <c r="AW24" s="1122" t="s">
        <v>1560</v>
      </c>
      <c r="AX24" s="1122" t="s">
        <v>1560</v>
      </c>
      <c r="AZ24" s="1122" t="s">
        <v>1561</v>
      </c>
      <c r="BB24" s="1122" t="s">
        <v>1562</v>
      </c>
      <c r="BC24" s="1122" t="s">
        <v>1563</v>
      </c>
      <c r="BE24" s="1122">
        <v>2022</v>
      </c>
      <c r="BH24" s="1070" t="s">
        <v>1488</v>
      </c>
      <c r="BJ24" s="1070" t="s">
        <v>1446</v>
      </c>
      <c r="BL24" s="1070" t="s">
        <v>1446</v>
      </c>
      <c r="BQ24" s="1283">
        <v>4190069</v>
      </c>
      <c r="BR24" s="1070" t="s">
        <v>1564</v>
      </c>
      <c r="BS24" s="1431"/>
      <c r="BT24" s="1283">
        <v>4189676</v>
      </c>
      <c r="BU24" s="1070" t="s">
        <v>1565</v>
      </c>
      <c r="BV24" s="1072"/>
      <c r="BW24" s="1072"/>
      <c r="CC24" s="1283">
        <v>25575374</v>
      </c>
      <c r="CD24" s="1070" t="s">
        <v>1566</v>
      </c>
    </row>
    <row customHeight="1" ht="11.25">
      <c r="A25" s="1076" t="s">
        <v>1567</v>
      </c>
      <c r="B25" s="1077">
        <v>2023</v>
      </c>
      <c r="AW25" s="1122" t="s">
        <v>1568</v>
      </c>
      <c r="AX25" s="1122" t="s">
        <v>1568</v>
      </c>
      <c r="AZ25" s="1122" t="s">
        <v>1569</v>
      </c>
      <c r="BB25" s="1122" t="s">
        <v>1570</v>
      </c>
      <c r="BC25" s="1122" t="s">
        <v>1563</v>
      </c>
      <c r="BE25" s="1122">
        <v>2023</v>
      </c>
      <c r="BH25" s="1070" t="s">
        <v>1495</v>
      </c>
      <c r="BJ25" s="1070" t="s">
        <v>1520</v>
      </c>
      <c r="BL25" s="1070" t="s">
        <v>1520</v>
      </c>
      <c r="BQ25" s="1283">
        <v>4190070</v>
      </c>
      <c r="BR25" s="1070" t="s">
        <v>1571</v>
      </c>
      <c r="BS25" s="1431"/>
      <c r="BT25" s="1283">
        <v>4189677</v>
      </c>
      <c r="BU25" s="1070" t="s">
        <v>1572</v>
      </c>
      <c r="BV25" s="1072"/>
      <c r="BW25" s="1072"/>
    </row>
    <row customHeight="1" ht="11.25">
      <c r="A26" s="1076" t="s">
        <v>1573</v>
      </c>
      <c r="B26" s="1077">
        <v>2024</v>
      </c>
      <c r="J26" s="1733" t="s">
        <v>1574</v>
      </c>
      <c r="AX26" s="1122" t="s">
        <v>1575</v>
      </c>
      <c r="AZ26" s="1122" t="s">
        <v>1439</v>
      </c>
      <c r="BB26" s="1122" t="s">
        <v>1576</v>
      </c>
      <c r="BC26" s="1122" t="s">
        <v>1563</v>
      </c>
      <c r="BE26" s="1122">
        <v>2024</v>
      </c>
      <c r="BH26" s="1070" t="s">
        <v>1506</v>
      </c>
      <c r="BJ26" s="1070" t="s">
        <v>1457</v>
      </c>
      <c r="BL26" s="1070" t="s">
        <v>1457</v>
      </c>
      <c r="BQ26" s="1283">
        <v>4190071</v>
      </c>
      <c r="BR26" s="1070" t="s">
        <v>1577</v>
      </c>
      <c r="BS26" s="1431"/>
      <c r="BV26" s="1072"/>
      <c r="BW26" s="1072"/>
    </row>
    <row customHeight="1" ht="11.25">
      <c r="A27" s="1076" t="s">
        <v>1578</v>
      </c>
      <c r="B27" s="1077">
        <v>2025</v>
      </c>
      <c r="J27" s="178" t="s">
        <v>454</v>
      </c>
      <c r="AX27" s="1122" t="s">
        <v>1579</v>
      </c>
      <c r="BB27" s="1122" t="s">
        <v>1580</v>
      </c>
      <c r="BC27" s="1122" t="s">
        <v>1563</v>
      </c>
      <c r="BE27" s="1122">
        <v>2025</v>
      </c>
      <c r="BH27" s="1072" t="s">
        <v>28</v>
      </c>
      <c r="BJ27" s="1070" t="s">
        <v>1464</v>
      </c>
      <c r="BL27" s="1070" t="s">
        <v>1464</v>
      </c>
      <c r="BN27" s="1072" t="s">
        <v>28</v>
      </c>
      <c r="BQ27" s="1283">
        <v>4190072</v>
      </c>
      <c r="BR27" s="1070" t="s">
        <v>1581</v>
      </c>
      <c r="BS27" s="1431"/>
      <c r="BV27" s="1072"/>
      <c r="BW27" s="1072"/>
    </row>
    <row customHeight="1" ht="11.25">
      <c r="A28" s="1076" t="s">
        <v>1582</v>
      </c>
      <c r="D28" s="1103"/>
      <c r="E28" s="1104"/>
      <c r="F28" s="1104"/>
      <c r="H28" s="1105" t="s">
        <v>1583</v>
      </c>
      <c r="AX28" s="1122" t="s">
        <v>1584</v>
      </c>
      <c r="AZ28" s="1069" t="s">
        <v>1585</v>
      </c>
      <c r="BB28" s="1122" t="s">
        <v>1586</v>
      </c>
      <c r="BC28" s="1122" t="s">
        <v>1587</v>
      </c>
      <c r="BE28" s="1122">
        <v>2026</v>
      </c>
      <c r="BH28" s="1072" t="s">
        <v>28</v>
      </c>
      <c r="BJ28" s="1070" t="s">
        <v>1471</v>
      </c>
      <c r="BL28" s="1070" t="s">
        <v>1471</v>
      </c>
      <c r="BN28" s="1072" t="s">
        <v>28</v>
      </c>
      <c r="BQ28" s="1283">
        <v>4190073</v>
      </c>
      <c r="BR28" s="1070" t="s">
        <v>1588</v>
      </c>
      <c r="BS28" s="1431"/>
      <c r="BV28" s="1072"/>
      <c r="BW28" s="1072"/>
    </row>
    <row customHeight="1" ht="11.25">
      <c r="A29" s="1076" t="s">
        <v>16</v>
      </c>
      <c r="D29" s="1106" t="s">
        <v>1589</v>
      </c>
      <c r="E29" s="1107" t="str">
        <f>IF(TEMPLATE_GROUP="","",INDEX(StartDateList,MATCH(TEMPLATE_GROUP,CodeTemplateList,0),1))</f>
        <v>01.01.2025</v>
      </c>
      <c r="F29" s="1107" t="str">
        <f>IF(TEMPLATE_GROUP="","",INDEX(EndDateList,MATCH(TEMPLATE_GROUP,CodeTemplateList,0),1))</f>
        <v>31.12.2029</v>
      </c>
      <c r="H29" s="1108" t="s">
        <v>1590</v>
      </c>
      <c r="AX29" s="1122" t="s">
        <v>1591</v>
      </c>
      <c r="AZ29" s="1122" t="s">
        <v>1240</v>
      </c>
      <c r="BB29" s="1122" t="s">
        <v>1439</v>
      </c>
      <c r="BC29" s="1093"/>
      <c r="BE29" s="1122">
        <v>2027</v>
      </c>
      <c r="BJ29" s="1070" t="s">
        <v>1479</v>
      </c>
      <c r="BL29" s="1070" t="s">
        <v>1479</v>
      </c>
    </row>
    <row customHeight="1" ht="11.25">
      <c r="A30" s="1076" t="s">
        <v>1592</v>
      </c>
      <c r="D30" s="1109"/>
      <c r="E30" s="1110"/>
      <c r="F30" s="1110"/>
      <c r="AX30" s="1122" t="s">
        <v>1593</v>
      </c>
      <c r="AZ30" s="1122" t="s">
        <v>1265</v>
      </c>
      <c r="BE30" s="1122">
        <v>2028</v>
      </c>
      <c r="BJ30" s="1070" t="s">
        <v>1594</v>
      </c>
      <c r="BL30" s="1070" t="s">
        <v>1594</v>
      </c>
    </row>
    <row customHeight="1" ht="12.75">
      <c r="A31" s="1076" t="s">
        <v>1595</v>
      </c>
      <c r="D31" s="1103"/>
      <c r="E31" s="1104"/>
      <c r="F31" s="1104"/>
      <c r="H31" s="1111"/>
      <c r="AX31" s="1122" t="s">
        <v>1596</v>
      </c>
      <c r="AZ31" s="1122" t="s">
        <v>1597</v>
      </c>
      <c r="BE31" s="1122">
        <v>2029</v>
      </c>
      <c r="BJ31" s="1070" t="s">
        <v>1598</v>
      </c>
      <c r="BL31" s="1070" t="s">
        <v>1598</v>
      </c>
    </row>
    <row customHeight="1" ht="11.25">
      <c r="A32" s="1076" t="s">
        <v>1599</v>
      </c>
      <c r="D32" s="1106" t="s">
        <v>1600</v>
      </c>
      <c r="E32" s="1107" t="str">
        <f>IF(TEMPLATE_GROUP="","",INDEX(StartDateList,MATCH(TEMPLATE_GROUP,CodeTemplateList,0),1))</f>
        <v>01.01.2025</v>
      </c>
      <c r="F32" s="1107" t="str">
        <f>IF(TEMPLATE_GROUP="","",INDEX(EndDateList,MATCH(TEMPLATE_GROUP,CodeTemplateList,0),1))</f>
        <v>31.12.2029</v>
      </c>
      <c r="H32" s="1112" t="s">
        <v>1601</v>
      </c>
      <c r="O32" s="1076" t="s">
        <v>457</v>
      </c>
      <c r="AX32" s="1122" t="s">
        <v>1602</v>
      </c>
      <c r="AZ32" s="1122" t="s">
        <v>1332</v>
      </c>
      <c r="BE32" s="1122">
        <v>2030</v>
      </c>
      <c r="BJ32" s="1070" t="s">
        <v>1488</v>
      </c>
      <c r="BL32" s="1070" t="s">
        <v>1488</v>
      </c>
    </row>
    <row customHeight="1" ht="11.25">
      <c r="A33" s="1076" t="s">
        <v>1603</v>
      </c>
      <c r="O33" s="1076" t="s">
        <v>1263</v>
      </c>
      <c r="AX33" s="1122" t="s">
        <v>1604</v>
      </c>
      <c r="AZ33" s="1122" t="s">
        <v>456</v>
      </c>
      <c r="BE33" s="1122">
        <v>2031</v>
      </c>
      <c r="BJ33" s="1070" t="s">
        <v>1495</v>
      </c>
      <c r="BL33" s="1070" t="s">
        <v>1495</v>
      </c>
    </row>
    <row customHeight="1" ht="11.25">
      <c r="A34" s="1076" t="s">
        <v>1605</v>
      </c>
      <c r="O34" s="1076" t="s">
        <v>1297</v>
      </c>
      <c r="AX34" s="1122" t="s">
        <v>1606</v>
      </c>
      <c r="BE34" s="1122">
        <v>2032</v>
      </c>
      <c r="BJ34" s="1070" t="s">
        <v>1506</v>
      </c>
      <c r="BL34" s="1070" t="s">
        <v>1506</v>
      </c>
    </row>
    <row customHeight="1" ht="11.25">
      <c r="A35" s="1076" t="s">
        <v>1607</v>
      </c>
      <c r="O35" s="1076" t="s">
        <v>1330</v>
      </c>
      <c r="AX35" s="1122" t="s">
        <v>1608</v>
      </c>
      <c r="AZ35" s="1069" t="s">
        <v>1609</v>
      </c>
      <c r="BE35" s="1122">
        <v>2033</v>
      </c>
      <c r="BL35" s="1070" t="s">
        <v>1610</v>
      </c>
    </row>
    <row customHeight="1" ht="11.25">
      <c r="A36" s="1872" t="s">
        <v>1611</v>
      </c>
      <c r="D36" s="1113" t="s">
        <v>1612</v>
      </c>
      <c r="E36" s="1114" t="s">
        <v>815</v>
      </c>
      <c r="F36" s="1115" t="str">
        <f>INDEX(E37:E41,MATCH(TEMPLATE_SPHERE,F37:F41,0))</f>
        <v>теплоснабжения</v>
      </c>
      <c r="G36" s="1115" t="str">
        <f>INDEX(G37:G41,MATCH(TEMPLATE_SPHERE,F37:F41,0))</f>
        <v>теплоснабжение</v>
      </c>
      <c r="O36" s="1076" t="s">
        <v>1355</v>
      </c>
      <c r="AX36" s="1122" t="s">
        <v>1613</v>
      </c>
      <c r="AZ36" s="1122" t="s">
        <v>456</v>
      </c>
      <c r="BE36" s="1122">
        <v>2034</v>
      </c>
      <c r="BL36" s="1070" t="s">
        <v>1614</v>
      </c>
    </row>
    <row customHeight="1" ht="11.25">
      <c r="A37" s="1076" t="s">
        <v>1615</v>
      </c>
      <c r="E37" s="409" t="s">
        <v>1616</v>
      </c>
      <c r="F37" s="1116" t="s">
        <v>815</v>
      </c>
      <c r="G37" s="409" t="s">
        <v>1617</v>
      </c>
      <c r="O37" s="1076" t="s">
        <v>1374</v>
      </c>
      <c r="AX37" s="1122" t="s">
        <v>1618</v>
      </c>
      <c r="AZ37" s="1122" t="s">
        <v>1264</v>
      </c>
      <c r="BE37" s="1122">
        <v>2035</v>
      </c>
    </row>
    <row customHeight="1" ht="11.25">
      <c r="A38" s="1076" t="s">
        <v>1619</v>
      </c>
      <c r="E38" s="409" t="s">
        <v>1620</v>
      </c>
      <c r="F38" s="1117" t="s">
        <v>861</v>
      </c>
      <c r="G38" s="409" t="s">
        <v>1621</v>
      </c>
      <c r="O38" s="1076" t="s">
        <v>1391</v>
      </c>
      <c r="AX38" s="1122" t="s">
        <v>1622</v>
      </c>
      <c r="AZ38" s="1122" t="s">
        <v>1298</v>
      </c>
      <c r="BE38" s="1122">
        <v>2036</v>
      </c>
      <c r="BH38" s="1069" t="s">
        <v>1623</v>
      </c>
      <c r="BJ38" s="1069" t="s">
        <v>1624</v>
      </c>
      <c r="BL38" s="1069" t="s">
        <v>1625</v>
      </c>
      <c r="BN38" s="1069" t="s">
        <v>1626</v>
      </c>
    </row>
    <row customHeight="1" ht="11.25">
      <c r="A39" s="1076" t="s">
        <v>1627</v>
      </c>
      <c r="E39" s="409" t="s">
        <v>1628</v>
      </c>
      <c r="F39" s="1117" t="s">
        <v>914</v>
      </c>
      <c r="G39" s="409" t="s">
        <v>1629</v>
      </c>
      <c r="O39" s="1076" t="s">
        <v>1407</v>
      </c>
      <c r="AX39" s="1122" t="s">
        <v>1630</v>
      </c>
      <c r="AZ39" s="1122" t="s">
        <v>1331</v>
      </c>
      <c r="BE39" s="1122">
        <v>2037</v>
      </c>
      <c r="BH39" s="1070" t="s">
        <v>1631</v>
      </c>
      <c r="BJ39" s="1219" t="s">
        <v>1631</v>
      </c>
      <c r="BL39" s="1219" t="s">
        <v>1631</v>
      </c>
      <c r="BN39" s="1070" t="s">
        <v>1632</v>
      </c>
    </row>
    <row customHeight="1" ht="11.25">
      <c r="A40" s="1076" t="s">
        <v>1633</v>
      </c>
      <c r="E40" s="409" t="s">
        <v>1634</v>
      </c>
      <c r="F40" s="1117" t="s">
        <v>901</v>
      </c>
      <c r="G40" s="409" t="s">
        <v>1635</v>
      </c>
      <c r="O40" s="1076" t="s">
        <v>1423</v>
      </c>
      <c r="AX40" s="1122" t="s">
        <v>1636</v>
      </c>
      <c r="BE40" s="1122">
        <v>2038</v>
      </c>
      <c r="BH40" s="1070" t="s">
        <v>1637</v>
      </c>
      <c r="BJ40" s="1219" t="s">
        <v>1034</v>
      </c>
      <c r="BL40" s="1219" t="s">
        <v>1034</v>
      </c>
      <c r="BN40" s="1070" t="s">
        <v>1068</v>
      </c>
    </row>
    <row customHeight="1" ht="11.25">
      <c r="A41" s="1076" t="s">
        <v>1638</v>
      </c>
      <c r="E41" s="409" t="s">
        <v>1639</v>
      </c>
      <c r="F41" s="1117" t="s">
        <v>1640</v>
      </c>
      <c r="G41" s="409" t="s">
        <v>1639</v>
      </c>
      <c r="O41" s="1076" t="s">
        <v>1439</v>
      </c>
      <c r="AX41" s="1122" t="s">
        <v>1641</v>
      </c>
      <c r="AZ41" s="1069" t="s">
        <v>1642</v>
      </c>
      <c r="BE41" s="1122">
        <v>2039</v>
      </c>
      <c r="BH41" s="1070" t="s">
        <v>1643</v>
      </c>
      <c r="BJ41" s="1219" t="s">
        <v>1030</v>
      </c>
      <c r="BL41" s="1219" t="s">
        <v>1030</v>
      </c>
      <c r="BN41" s="1070" t="s">
        <v>1055</v>
      </c>
    </row>
    <row customHeight="1" ht="11.25">
      <c r="A42" s="1076" t="s">
        <v>1644</v>
      </c>
      <c r="AX42" s="1122" t="s">
        <v>1645</v>
      </c>
      <c r="AZ42" s="1122" t="s">
        <v>457</v>
      </c>
      <c r="BE42" s="1122">
        <v>2040</v>
      </c>
      <c r="BH42" s="1070" t="s">
        <v>1052</v>
      </c>
      <c r="BJ42" s="1219" t="s">
        <v>1032</v>
      </c>
      <c r="BL42" s="1219" t="s">
        <v>1032</v>
      </c>
      <c r="BN42" s="1070" t="s">
        <v>1646</v>
      </c>
    </row>
    <row customHeight="1" ht="11.25">
      <c r="A43" s="1076" t="s">
        <v>1647</v>
      </c>
      <c r="AX43" s="1122" t="s">
        <v>1648</v>
      </c>
      <c r="AZ43" s="1122" t="s">
        <v>1263</v>
      </c>
      <c r="BE43" s="1122">
        <v>2041</v>
      </c>
      <c r="BH43" s="1070" t="s">
        <v>1649</v>
      </c>
      <c r="BJ43" s="1219" t="s">
        <v>1643</v>
      </c>
      <c r="BL43" s="1219" t="s">
        <v>1643</v>
      </c>
      <c r="BN43" s="1070" t="s">
        <v>1650</v>
      </c>
    </row>
    <row customHeight="1" ht="11.25">
      <c r="A44" s="1076" t="s">
        <v>1651</v>
      </c>
      <c r="G44" s="1096">
        <f>YEAR(TODAY())</f>
        <v>2026</v>
      </c>
      <c r="I44" s="801" t="s">
        <v>1652</v>
      </c>
      <c r="J44" s="1091" t="s">
        <v>1653</v>
      </c>
      <c r="K44" s="1091" t="s">
        <v>1654</v>
      </c>
      <c r="AX44" s="1122" t="s">
        <v>1655</v>
      </c>
      <c r="AZ44" s="1122" t="s">
        <v>1297</v>
      </c>
      <c r="BE44" s="1122">
        <v>2042</v>
      </c>
      <c r="BH44" s="1070" t="s">
        <v>1656</v>
      </c>
      <c r="BJ44" s="1219" t="s">
        <v>1052</v>
      </c>
      <c r="BL44" s="1219" t="s">
        <v>1052</v>
      </c>
      <c r="BN44" s="1070" t="s">
        <v>1657</v>
      </c>
    </row>
    <row customHeight="1" ht="11.25">
      <c r="A45" s="1076" t="s">
        <v>1658</v>
      </c>
      <c r="D45" s="1113" t="s">
        <v>1659</v>
      </c>
      <c r="E45" s="1114" t="s">
        <v>1660</v>
      </c>
      <c r="F45" s="799" t="s">
        <v>1661</v>
      </c>
      <c r="G45" s="798" t="s">
        <v>1662</v>
      </c>
      <c r="H45" s="801" t="s">
        <v>1663</v>
      </c>
      <c r="I45" s="1743">
        <f>INDEX(PeriodIsEmptyList,MATCH(TEMPLATE_GROUP,CodeTemplateList,0),1)</f>
        <v>0</v>
      </c>
      <c r="J45" s="1746" t="str">
        <f>INDEX(NameTemplatesInTitleList,MATCH(TEMPLATE_GROUP,CodeTemplateList,0),1)</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1664</v>
      </c>
      <c r="AZ45" s="1122" t="s">
        <v>1330</v>
      </c>
      <c r="BE45" s="1122">
        <v>2043</v>
      </c>
      <c r="BH45" s="1070" t="s">
        <v>1665</v>
      </c>
      <c r="BJ45" s="1219" t="s">
        <v>1046</v>
      </c>
      <c r="BL45" s="1219" t="s">
        <v>1046</v>
      </c>
      <c r="BN45" s="1070" t="s">
        <v>1666</v>
      </c>
    </row>
    <row customHeight="1" ht="11.25">
      <c r="A46" s="1076" t="s">
        <v>1667</v>
      </c>
      <c r="E46" s="409" t="s">
        <v>26</v>
      </c>
      <c r="F46" s="1116" t="s">
        <v>1668</v>
      </c>
      <c r="G46" s="1118" t="str">
        <f>_xlfn.IFERROR(IF(TITLE_DATE_FIL="","01.01."&amp;CURRENT_YEAR,"01.01."&amp;YEAR(TITLE_DATE_FIL)),"01.01."&amp;CURRENT_YEAR)</f>
        <v>01.01.2026</v>
      </c>
      <c r="H46" s="1118" t="str">
        <f>_xlfn.IFERROR(IF(TITLE_DATE_FIL="","31.12."&amp;CURRENT_YEAR,"31.12."&amp;YEAR(TITLE_DATE_FIL)),"31.12."&amp;CURRENT_YEAR)</f>
        <v>31.12.2026</v>
      </c>
      <c r="I46" s="1744">
        <f>IF(TITLE_DATE_FIL="",TRUE,FALSE)</f>
        <v>1</v>
      </c>
      <c r="J46" s="1747" t="str">
        <f>"Общая информация о регулируемой организации ("&amp;TEMPLATE_SPHERE_RUS&amp;")"</f>
        <v>Общая информация о регулируемой организации (теплоснабжения)</v>
      </c>
      <c r="K46" s="1748"/>
      <c r="AX46" s="1122" t="s">
        <v>1669</v>
      </c>
      <c r="AZ46" s="1122" t="s">
        <v>1355</v>
      </c>
      <c r="BE46" s="1122">
        <v>2044</v>
      </c>
      <c r="BH46" s="1070" t="s">
        <v>1055</v>
      </c>
      <c r="BJ46" s="1219" t="s">
        <v>1036</v>
      </c>
      <c r="BL46" s="1219" t="s">
        <v>1036</v>
      </c>
      <c r="BN46" s="1070" t="s">
        <v>1670</v>
      </c>
    </row>
    <row customHeight="1" ht="11.25">
      <c r="A47" s="1076" t="s">
        <v>1671</v>
      </c>
      <c r="E47" s="409" t="s">
        <v>33</v>
      </c>
      <c r="F47" s="1117" t="s">
        <v>1672</v>
      </c>
      <c r="G47" s="1118" t="str">
        <f>_xlfn.IFERROR(IF(f_year="","01.01."&amp;CURRENT_YEAR,IF(LEN(f_quart)=0,"01.01."&amp;f_year,IF(f_quart="I квартал","01.01."&amp;f_year,IF(f_quart="II квартал","01.04."&amp;f_year,(IF(f_quart="III квартал","01.07."&amp;f_year,"01.10."&amp;f_year)))))),"01.01."&amp;CURRENT_YEAR)</f>
        <v>01.01.2026</v>
      </c>
      <c r="H47" s="1118" t="str">
        <f>_xlfn.IFERROR(IF(f_year="","31.12."&amp;CURRENT_YEAR,IF(LEN(f_quart)=0,"31.12."&amp;f_year,IF(f_quart="I квартал","31.03."&amp;f_year,IF(f_quart="II квартал","30.06."&amp;f_year,(IF(f_quart="III квартал","30.09."&amp;f_year,"31.12."&amp;f_year)))))),"31.12."&amp;CURRENT_YEAR)</f>
        <v>31.12.2026</v>
      </c>
      <c r="I47" s="1745">
        <f>IF(OR(f_year="",f_quart=""),TRUE,FALSE)</f>
        <v>1</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8"/>
      <c r="AX47" s="1122" t="s">
        <v>1673</v>
      </c>
      <c r="AZ47" s="1122" t="s">
        <v>1374</v>
      </c>
      <c r="BE47" s="1122">
        <v>2045</v>
      </c>
      <c r="BH47" s="1070" t="s">
        <v>1646</v>
      </c>
      <c r="BJ47" s="1219" t="s">
        <v>1038</v>
      </c>
      <c r="BL47" s="1219" t="s">
        <v>1038</v>
      </c>
      <c r="BN47" s="1070" t="s">
        <v>1674</v>
      </c>
    </row>
    <row customHeight="1" ht="11.25">
      <c r="A48" s="1076" t="s">
        <v>1675</v>
      </c>
      <c r="E48" s="409" t="s">
        <v>1676</v>
      </c>
      <c r="F48" s="1117" t="s">
        <v>1677</v>
      </c>
      <c r="G48" s="1118" t="str">
        <f>_xlfn.IFERROR(IF(f_year="","01.01."&amp;CURRENT_YEAR,"01.01."&amp;f_year),"01.01."&amp;CURRENT_YEAR)</f>
        <v>01.01.2026</v>
      </c>
      <c r="H48" s="1118" t="str">
        <f>_xlfn.IFERROR(IF(f_year="","31.12."&amp;CURRENT_YEAR,"31.12."&amp;f_year),"31.12."&amp;CURRENT_YEAR)</f>
        <v>31.12.2026</v>
      </c>
      <c r="I48" s="1744">
        <f>IF(f_year="",TRUE,FALSE)</f>
        <v>1</v>
      </c>
      <c r="J48" s="1747" t="s">
        <v>1678</v>
      </c>
      <c r="K48" s="1748"/>
      <c r="AX48" s="1122" t="s">
        <v>1679</v>
      </c>
      <c r="AZ48" s="1122" t="s">
        <v>1391</v>
      </c>
      <c r="BE48" s="1122">
        <v>2046</v>
      </c>
      <c r="BH48" s="1070" t="s">
        <v>1650</v>
      </c>
      <c r="BJ48" s="1219" t="s">
        <v>1040</v>
      </c>
      <c r="BL48" s="1219" t="s">
        <v>1040</v>
      </c>
      <c r="BN48" s="1070" t="s">
        <v>1680</v>
      </c>
    </row>
    <row customHeight="1" ht="11.25">
      <c r="A49" s="1076" t="s">
        <v>1681</v>
      </c>
      <c r="E49" s="409" t="s">
        <v>1682</v>
      </c>
      <c r="F49" s="1117" t="s">
        <v>1683</v>
      </c>
      <c r="G49" s="1118" t="str">
        <f>_xlfn.IFERROR(IF(f_year="","01.01."&amp;CURRENT_YEAR,"01.01."&amp;f_year),"01.01."&amp;CURRENT_YEAR)</f>
        <v>01.01.2026</v>
      </c>
      <c r="H49" s="1118" t="str">
        <f>_xlfn.IFERROR(IF(f_year="","31.12."&amp;CURRENT_YEAR,"31.12."&amp;f_year),"31.12."&amp;CURRENT_YEAR)</f>
        <v>31.12.2026</v>
      </c>
      <c r="I49" s="1744">
        <f>IF(f_year="",TRUE,FALSE)</f>
        <v>1</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8"/>
      <c r="AX49" s="1122" t="s">
        <v>1684</v>
      </c>
      <c r="AZ49" s="1122" t="s">
        <v>1407</v>
      </c>
      <c r="BE49" s="1122">
        <v>2047</v>
      </c>
      <c r="BH49" s="1070" t="s">
        <v>1056</v>
      </c>
      <c r="BJ49" s="1219" t="s">
        <v>1042</v>
      </c>
      <c r="BL49" s="1219" t="s">
        <v>1042</v>
      </c>
    </row>
    <row customHeight="1" ht="11.25">
      <c r="A50" s="1076" t="s">
        <v>1685</v>
      </c>
      <c r="E50" s="409" t="s">
        <v>1686</v>
      </c>
      <c r="F50" s="1117" t="s">
        <v>1026</v>
      </c>
      <c r="G50" s="1118" t="str">
        <f>_xlfn.IFERROR(IF(f_year="","01.01."&amp;CURRENT_YEAR,"01.01."&amp;f_year),"01.01."&amp;CURRENT_YEAR)</f>
        <v>01.01.2026</v>
      </c>
      <c r="H50" s="1118" t="str">
        <f>_xlfn.IFERROR(IF(f_year="","31.12."&amp;CURRENT_YEAR,"31.12."&amp;f_year),"31.12."&amp;CURRENT_YEAR)</f>
        <v>31.12.2026</v>
      </c>
      <c r="I50" s="1744">
        <f>IF(f_year="",TRUE,FALSE)</f>
        <v>1</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8"/>
      <c r="AX50" s="1122" t="s">
        <v>1687</v>
      </c>
      <c r="AZ50" s="1122" t="s">
        <v>1423</v>
      </c>
      <c r="BE50" s="1122">
        <v>2048</v>
      </c>
      <c r="BH50" s="1070" t="s">
        <v>1657</v>
      </c>
      <c r="BJ50" s="1219" t="s">
        <v>1044</v>
      </c>
      <c r="BL50" s="1219" t="s">
        <v>1044</v>
      </c>
    </row>
    <row customHeight="1" ht="11.25">
      <c r="A51" s="1076" t="s">
        <v>1688</v>
      </c>
      <c r="E51" s="409" t="s">
        <v>1689</v>
      </c>
      <c r="F51" s="1117" t="s">
        <v>1660</v>
      </c>
      <c r="G51" s="1118" t="str">
        <f>_xlfn.IFERROR(IF(TITLE_PERIOD_START="","01.01."&amp;CURRENT_YEAR,"01.01."&amp;YEAR(TITLE_PERIOD_START)),"01.01."&amp;CURRENT_YEAR)</f>
        <v>01.01.2025</v>
      </c>
      <c r="H51" s="1118" t="str">
        <f>_xlfn.IFERROR(IF(TITLE_PERIOD_END="","31.12."&amp;CURRENT_YEAR,"31.12."&amp;YEAR(TITLE_PERIOD_END)),"31.12."&amp;CURRENT_YEAR)</f>
        <v>31.12.2029</v>
      </c>
      <c r="I51" s="1745">
        <f>IF(OR(TITLE_PERIOD_START="",TITLE_PERIOD_END=""),TRUE,FALSE)</f>
        <v>0</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1690</v>
      </c>
      <c r="AZ51" s="1122" t="s">
        <v>1439</v>
      </c>
      <c r="BE51" s="1122">
        <v>2049</v>
      </c>
      <c r="BH51" s="1070" t="s">
        <v>1666</v>
      </c>
      <c r="BJ51" s="1219" t="s">
        <v>1691</v>
      </c>
      <c r="BL51" s="1219" t="s">
        <v>1691</v>
      </c>
    </row>
    <row customHeight="1" ht="11.25">
      <c r="A52" s="1076" t="s">
        <v>1692</v>
      </c>
      <c r="E52" s="409" t="s">
        <v>1693</v>
      </c>
      <c r="F52" s="1117" t="s">
        <v>1694</v>
      </c>
      <c r="G52" s="1118" t="str">
        <f>_xlfn.IFERROR(IF(TITLE_PERIOD_START="","01.01."&amp;CURRENT_YEAR,"01.01."&amp;YEAR(TITLE_PERIOD_START)),"01.01."&amp;CURRENT_YEAR)</f>
        <v>01.01.2025</v>
      </c>
      <c r="H52" s="1118" t="str">
        <f>_xlfn.IFERROR(IF(TITLE_PERIOD_END="","31.12."&amp;CURRENT_YEAR,"31.12."&amp;YEAR(TITLE_PERIOD_END)),"31.12."&amp;CURRENT_YEAR)</f>
        <v>31.12.2029</v>
      </c>
      <c r="I52" s="1745">
        <f>IF(OR(TITLE_PERIOD_START="",TITLE_PERIOD_END=""),TRUE,FALSE)</f>
        <v>0</v>
      </c>
      <c r="J52" s="1747" t="str">
        <f>"Показатели, подлежащие раскрытию в сфере "&amp;TEMPLATE_SPHERE_RUS&amp;" (цены и тарифы)"</f>
        <v>Показатели, подлежащие раскрытию в сфере теплоснабжения (цены и тарифы)</v>
      </c>
      <c r="K52" s="1748"/>
      <c r="AX52" s="1122" t="s">
        <v>1695</v>
      </c>
      <c r="AZ52" s="1122" t="s">
        <v>456</v>
      </c>
      <c r="BE52" s="1122">
        <v>2050</v>
      </c>
      <c r="BH52" s="1070" t="s">
        <v>1670</v>
      </c>
      <c r="BJ52" s="1219" t="s">
        <v>1055</v>
      </c>
      <c r="BL52" s="1219" t="s">
        <v>1055</v>
      </c>
    </row>
    <row customHeight="1" ht="11.25">
      <c r="A53" s="1076" t="s">
        <v>1696</v>
      </c>
      <c r="E53" s="409" t="s">
        <v>1697</v>
      </c>
      <c r="F53" s="1117" t="s">
        <v>1697</v>
      </c>
      <c r="G53" s="1118" t="str">
        <f>_xlfn.IFERROR(IF(f_year="","01.01."&amp;CURRENT_YEAR,"01.01."&amp;f_year),"01.01."&amp;CURRENT_YEAR)</f>
        <v>01.01.2026</v>
      </c>
      <c r="H53" s="1118" t="str">
        <f>_xlfn.IFERROR(IF(f_year="","31.12."&amp;CURRENT_YEAR,"31.12."&amp;f_year),"31.12."&amp;CURRENT_YEAR)</f>
        <v>31.12.2026</v>
      </c>
      <c r="I53" s="1744">
        <f>IF(AND(f_year="",TITLE_DATE_FIL=""),TRUE,FALSE)</f>
        <v>1</v>
      </c>
      <c r="J53" s="1747" t="s">
        <v>1698</v>
      </c>
      <c r="K53" s="1748"/>
      <c r="AX53" s="1122" t="s">
        <v>1699</v>
      </c>
      <c r="BE53" s="1122">
        <v>2051</v>
      </c>
      <c r="BH53" s="1070" t="s">
        <v>1674</v>
      </c>
      <c r="BJ53" s="1219" t="s">
        <v>1646</v>
      </c>
      <c r="BL53" s="1219" t="s">
        <v>1646</v>
      </c>
    </row>
    <row customHeight="1" ht="11.25">
      <c r="A54" s="1076" t="s">
        <v>1700</v>
      </c>
      <c r="AX54" s="1122" t="s">
        <v>1701</v>
      </c>
      <c r="AZ54" s="1069" t="s">
        <v>1702</v>
      </c>
      <c r="BE54" s="1122">
        <v>2052</v>
      </c>
      <c r="BH54" s="1070" t="s">
        <v>1680</v>
      </c>
      <c r="BJ54" s="1219" t="s">
        <v>1650</v>
      </c>
      <c r="BL54" s="1219" t="s">
        <v>1650</v>
      </c>
    </row>
    <row customHeight="1" ht="11.25">
      <c r="A55" s="1076" t="s">
        <v>1703</v>
      </c>
      <c r="AX55" s="1122" t="s">
        <v>1704</v>
      </c>
      <c r="AZ55" s="1122" t="s">
        <v>1241</v>
      </c>
      <c r="BE55" s="1122">
        <v>2053</v>
      </c>
      <c r="BH55" s="1072" t="s">
        <v>28</v>
      </c>
      <c r="BJ55" s="1219" t="s">
        <v>1056</v>
      </c>
      <c r="BL55" s="1219" t="s">
        <v>1056</v>
      </c>
    </row>
    <row customHeight="1" ht="11.25">
      <c r="A56" s="1076" t="s">
        <v>1705</v>
      </c>
      <c r="D56" s="1120" t="s">
        <v>1706</v>
      </c>
      <c r="E56" s="1097" t="s">
        <v>113</v>
      </c>
      <c r="F56" s="1076" t="s">
        <v>1707</v>
      </c>
      <c r="AX56" s="1122" t="s">
        <v>1708</v>
      </c>
      <c r="AZ56" s="1122" t="s">
        <v>1266</v>
      </c>
      <c r="BE56" s="1122">
        <v>2054</v>
      </c>
      <c r="BH56" s="1072" t="s">
        <v>28</v>
      </c>
      <c r="BJ56" s="1219" t="s">
        <v>1657</v>
      </c>
      <c r="BL56" s="1219" t="s">
        <v>1657</v>
      </c>
    </row>
    <row customHeight="1" ht="11.25">
      <c r="A57" s="1076" t="s">
        <v>1709</v>
      </c>
      <c r="D57" s="1120" t="s">
        <v>1710</v>
      </c>
      <c r="E57" s="1097" t="s">
        <v>113</v>
      </c>
      <c r="F57" s="1076" t="s">
        <v>1707</v>
      </c>
      <c r="AX57" s="1122" t="s">
        <v>1711</v>
      </c>
      <c r="AZ57" s="1122" t="s">
        <v>1300</v>
      </c>
      <c r="BE57" s="1122">
        <v>2055</v>
      </c>
      <c r="BJ57" s="1219" t="s">
        <v>1666</v>
      </c>
      <c r="BL57" s="1219" t="s">
        <v>1666</v>
      </c>
    </row>
    <row customHeight="1" ht="11.25">
      <c r="A58" s="1076" t="s">
        <v>1712</v>
      </c>
      <c r="D58" s="1120" t="s">
        <v>1713</v>
      </c>
      <c r="E58" s="1097" t="s">
        <v>113</v>
      </c>
      <c r="F58" s="1076" t="s">
        <v>1707</v>
      </c>
      <c r="AX58" s="1122" t="s">
        <v>1714</v>
      </c>
      <c r="BE58" s="1122">
        <v>2056</v>
      </c>
      <c r="BJ58" s="1219" t="s">
        <v>1670</v>
      </c>
      <c r="BL58" s="1219" t="s">
        <v>1670</v>
      </c>
    </row>
    <row customHeight="1" ht="11.25">
      <c r="A59" s="1076" t="s">
        <v>1715</v>
      </c>
      <c r="D59" s="1120" t="s">
        <v>133</v>
      </c>
      <c r="E59" s="1097" t="s">
        <v>1602</v>
      </c>
      <c r="F59" s="1076" t="s">
        <v>1716</v>
      </c>
      <c r="AX59" s="1122" t="s">
        <v>1717</v>
      </c>
      <c r="AZ59" s="1069" t="s">
        <v>1718</v>
      </c>
      <c r="BE59" s="1122">
        <v>2057</v>
      </c>
      <c r="BJ59" s="1219" t="s">
        <v>1674</v>
      </c>
      <c r="BL59" s="1219" t="s">
        <v>1674</v>
      </c>
    </row>
    <row customHeight="1" ht="11.25">
      <c r="A60" s="1076" t="s">
        <v>1719</v>
      </c>
      <c r="D60" s="1120" t="s">
        <v>1720</v>
      </c>
      <c r="E60" s="1097" t="s">
        <v>1602</v>
      </c>
      <c r="F60" s="1076" t="s">
        <v>1716</v>
      </c>
      <c r="AX60" s="1122" t="s">
        <v>1721</v>
      </c>
      <c r="AZ60" s="1122" t="s">
        <v>1242</v>
      </c>
      <c r="BE60" s="1122">
        <v>2058</v>
      </c>
      <c r="BJ60" s="1219" t="s">
        <v>1680</v>
      </c>
      <c r="BL60" s="1219" t="s">
        <v>1680</v>
      </c>
    </row>
    <row customHeight="1" ht="11.25">
      <c r="A61" s="1076" t="s">
        <v>1722</v>
      </c>
      <c r="D61" s="1120" t="s">
        <v>1723</v>
      </c>
      <c r="E61" s="1097" t="s">
        <v>1602</v>
      </c>
      <c r="F61" s="1076" t="s">
        <v>1716</v>
      </c>
      <c r="AX61" s="1122" t="s">
        <v>1724</v>
      </c>
      <c r="AZ61" s="1122" t="s">
        <v>1267</v>
      </c>
      <c r="BE61" s="1122">
        <v>2059</v>
      </c>
      <c r="BL61" s="1219" t="s">
        <v>1048</v>
      </c>
    </row>
    <row customHeight="1" ht="11.25">
      <c r="A62" s="1076" t="s">
        <v>1725</v>
      </c>
      <c r="D62" s="1120" t="s">
        <v>132</v>
      </c>
      <c r="E62" s="1097">
        <v>30</v>
      </c>
      <c r="F62" s="1076" t="s">
        <v>1716</v>
      </c>
      <c r="AZ62" s="1122" t="s">
        <v>1301</v>
      </c>
      <c r="BE62" s="1122">
        <v>2060</v>
      </c>
      <c r="BL62" s="1219" t="s">
        <v>1050</v>
      </c>
    </row>
    <row customHeight="1" ht="11.25">
      <c r="A63" s="1076" t="s">
        <v>1726</v>
      </c>
      <c r="D63" s="1120" t="s">
        <v>1727</v>
      </c>
      <c r="E63" s="1097">
        <v>30</v>
      </c>
      <c r="F63" s="1076" t="s">
        <v>1716</v>
      </c>
      <c r="AZ63" s="1122" t="s">
        <v>1333</v>
      </c>
      <c r="BE63" s="1122">
        <v>2061</v>
      </c>
    </row>
    <row customHeight="1" ht="11.25">
      <c r="A64" s="1076" t="s">
        <v>1728</v>
      </c>
      <c r="D64" s="1120" t="s">
        <v>1729</v>
      </c>
      <c r="E64" s="1097">
        <v>30</v>
      </c>
      <c r="F64" s="1076" t="s">
        <v>1716</v>
      </c>
      <c r="AZ64" s="1122" t="s">
        <v>1356</v>
      </c>
      <c r="BE64" s="1122">
        <v>2062</v>
      </c>
    </row>
    <row customHeight="1" ht="11.25">
      <c r="A65" s="1076" t="s">
        <v>1730</v>
      </c>
      <c r="D65" s="1076"/>
      <c r="BE65" s="1122">
        <v>2063</v>
      </c>
    </row>
    <row customHeight="1" ht="11.25">
      <c r="A66" s="1076" t="s">
        <v>1731</v>
      </c>
      <c r="AZ66" s="1069" t="s">
        <v>1732</v>
      </c>
      <c r="BE66" s="1122">
        <v>2064</v>
      </c>
    </row>
    <row customHeight="1" ht="11.25">
      <c r="A67" s="1076" t="s">
        <v>1733</v>
      </c>
      <c r="AZ67" s="1122" t="s">
        <v>1243</v>
      </c>
      <c r="BE67" s="1122">
        <v>2065</v>
      </c>
    </row>
    <row customHeight="1" ht="11.25">
      <c r="A68" s="1076" t="s">
        <v>1734</v>
      </c>
      <c r="AZ68" s="1122" t="s">
        <v>1268</v>
      </c>
      <c r="BE68" s="1122">
        <v>2066</v>
      </c>
      <c r="BH68" s="1069" t="s">
        <v>1735</v>
      </c>
      <c r="BJ68" s="1069" t="s">
        <v>1736</v>
      </c>
      <c r="BL68" s="1069" t="s">
        <v>1737</v>
      </c>
      <c r="BN68" s="1069" t="s">
        <v>1738</v>
      </c>
    </row>
    <row customHeight="1" ht="11.25">
      <c r="A69" s="1076" t="s">
        <v>1739</v>
      </c>
      <c r="AZ69" s="1122" t="s">
        <v>1302</v>
      </c>
      <c r="BE69" s="1122">
        <v>2067</v>
      </c>
      <c r="BH69" s="1070" t="s">
        <v>1740</v>
      </c>
      <c r="BI69" s="1119" t="s">
        <v>111</v>
      </c>
      <c r="BJ69" s="1070" t="s">
        <v>1741</v>
      </c>
      <c r="BK69" s="1119" t="s">
        <v>111</v>
      </c>
      <c r="BL69" s="1070" t="s">
        <v>1742</v>
      </c>
      <c r="BM69" s="1072" t="s">
        <v>111</v>
      </c>
      <c r="BN69" s="1070" t="s">
        <v>1743</v>
      </c>
    </row>
    <row customHeight="1" ht="11.25">
      <c r="A70" s="1076" t="s">
        <v>1744</v>
      </c>
      <c r="AZ70" s="1122" t="s">
        <v>1334</v>
      </c>
      <c r="BE70" s="1122">
        <v>2068</v>
      </c>
      <c r="BH70" s="1070" t="s">
        <v>1745</v>
      </c>
      <c r="BJ70" s="1070" t="s">
        <v>1746</v>
      </c>
      <c r="BL70" s="1070" t="s">
        <v>1747</v>
      </c>
      <c r="BN70" s="1070" t="s">
        <v>1748</v>
      </c>
    </row>
    <row customHeight="1" ht="11.25">
      <c r="A71" s="1076" t="s">
        <v>1749</v>
      </c>
      <c r="AZ71" s="1122" t="s">
        <v>1336</v>
      </c>
      <c r="BE71" s="1122">
        <v>2069</v>
      </c>
      <c r="BH71" s="1070" t="s">
        <v>1750</v>
      </c>
      <c r="BI71" s="1119" t="s">
        <v>92</v>
      </c>
      <c r="BJ71" s="1070" t="s">
        <v>1751</v>
      </c>
      <c r="BK71" s="1119" t="s">
        <v>92</v>
      </c>
      <c r="BL71" s="1070" t="s">
        <v>1752</v>
      </c>
      <c r="BM71" s="1072" t="s">
        <v>92</v>
      </c>
      <c r="BN71" s="1070" t="s">
        <v>1753</v>
      </c>
    </row>
    <row customHeight="1" ht="11.25">
      <c r="A72" s="1076" t="s">
        <v>1754</v>
      </c>
      <c r="AZ72" s="1122" t="s">
        <v>19</v>
      </c>
      <c r="BE72" s="1122">
        <v>2070</v>
      </c>
      <c r="BH72" s="1070" t="s">
        <v>1755</v>
      </c>
      <c r="BJ72" s="1070" t="s">
        <v>1755</v>
      </c>
      <c r="BL72" s="1070" t="s">
        <v>1755</v>
      </c>
      <c r="BN72" s="1070" t="s">
        <v>1756</v>
      </c>
    </row>
    <row customHeight="1" ht="11.25">
      <c r="A73" s="1076" t="s">
        <v>1757</v>
      </c>
      <c r="BH73" s="1070" t="s">
        <v>1758</v>
      </c>
      <c r="BI73" s="1119" t="s">
        <v>113</v>
      </c>
      <c r="BJ73" s="1070" t="s">
        <v>1759</v>
      </c>
      <c r="BK73" s="1119" t="s">
        <v>113</v>
      </c>
      <c r="BL73" s="1070" t="s">
        <v>1760</v>
      </c>
      <c r="BM73" s="1072" t="s">
        <v>113</v>
      </c>
      <c r="BN73" s="1070" t="s">
        <v>1761</v>
      </c>
    </row>
    <row customHeight="1" ht="11.25">
      <c r="A74" s="1076" t="s">
        <v>1762</v>
      </c>
      <c r="BH74" s="1070" t="s">
        <v>1763</v>
      </c>
      <c r="BJ74" s="1070" t="s">
        <v>1764</v>
      </c>
      <c r="BL74" s="1070" t="s">
        <v>1765</v>
      </c>
      <c r="BN74" s="1070" t="s">
        <v>1766</v>
      </c>
    </row>
    <row customHeight="1" ht="11.25">
      <c r="A75" s="1076" t="s">
        <v>1767</v>
      </c>
      <c r="AZ75" s="1069" t="s">
        <v>1768</v>
      </c>
      <c r="BH75" s="1070" t="s">
        <v>1769</v>
      </c>
      <c r="BJ75" s="1070" t="s">
        <v>1769</v>
      </c>
      <c r="BL75" s="1070" t="s">
        <v>1769</v>
      </c>
    </row>
    <row customHeight="1" ht="11.25">
      <c r="A76" s="1076" t="s">
        <v>1770</v>
      </c>
      <c r="AZ76" s="1122" t="s">
        <v>1252</v>
      </c>
      <c r="BH76" s="1070" t="s">
        <v>1771</v>
      </c>
      <c r="BJ76" s="1070" t="s">
        <v>1772</v>
      </c>
      <c r="BL76" s="1070" t="s">
        <v>1773</v>
      </c>
    </row>
    <row customHeight="1" ht="11.25">
      <c r="A77" s="1076" t="s">
        <v>1774</v>
      </c>
      <c r="AZ77" s="1122" t="s">
        <v>1277</v>
      </c>
    </row>
    <row customHeight="1" ht="11.25">
      <c r="A78" s="1076" t="s">
        <v>1775</v>
      </c>
      <c r="AZ78" s="1122" t="s">
        <v>1309</v>
      </c>
    </row>
    <row customHeight="1" ht="11.25">
      <c r="A79" s="1076" t="s">
        <v>1776</v>
      </c>
      <c r="AZ79" s="1122" t="s">
        <v>1340</v>
      </c>
      <c r="BH79" s="1069" t="s">
        <v>1777</v>
      </c>
      <c r="BJ79" s="1069" t="s">
        <v>1778</v>
      </c>
      <c r="BL79" s="1069" t="s">
        <v>1779</v>
      </c>
    </row>
    <row customHeight="1" ht="11.25">
      <c r="A80" s="1076" t="s">
        <v>1780</v>
      </c>
      <c r="AZ80" s="1122" t="s">
        <v>1361</v>
      </c>
      <c r="BH80" s="1070" t="s">
        <v>1781</v>
      </c>
      <c r="BJ80" s="1070" t="s">
        <v>1782</v>
      </c>
      <c r="BL80" s="1070" t="s">
        <v>1783</v>
      </c>
    </row>
    <row customHeight="1" ht="11.25">
      <c r="A81" s="1076" t="s">
        <v>1784</v>
      </c>
      <c r="AZ81" s="1122" t="s">
        <v>1378</v>
      </c>
      <c r="BH81" s="1070" t="s">
        <v>1785</v>
      </c>
      <c r="BJ81" s="1070" t="s">
        <v>1786</v>
      </c>
      <c r="BL81" s="1070" t="s">
        <v>1787</v>
      </c>
    </row>
    <row customHeight="1" ht="11.25">
      <c r="A82" s="1076" t="s">
        <v>1788</v>
      </c>
      <c r="AZ82" s="1122" t="s">
        <v>1393</v>
      </c>
      <c r="BH82" s="1070" t="s">
        <v>1789</v>
      </c>
      <c r="BJ82" s="1070" t="s">
        <v>1790</v>
      </c>
      <c r="BL82" s="1070" t="s">
        <v>1791</v>
      </c>
    </row>
    <row customHeight="1" ht="11.25">
      <c r="A83" s="1076" t="s">
        <v>1792</v>
      </c>
      <c r="BH83" s="1070" t="s">
        <v>1793</v>
      </c>
      <c r="BJ83" s="1070" t="s">
        <v>1794</v>
      </c>
      <c r="BL83" s="1070" t="s">
        <v>1795</v>
      </c>
    </row>
    <row customHeight="1" ht="11.25">
      <c r="A84" s="1076" t="s">
        <v>1796</v>
      </c>
      <c r="AZ84" s="1069" t="s">
        <v>1797</v>
      </c>
    </row>
    <row customHeight="1" ht="11.25">
      <c r="A85" s="1872" t="s">
        <v>1798</v>
      </c>
      <c r="AZ85" s="1122" t="s">
        <v>1799</v>
      </c>
    </row>
    <row customHeight="1" ht="11.25">
      <c r="A86" s="1076" t="s">
        <v>1800</v>
      </c>
      <c r="AZ86" s="1122" t="s">
        <v>1801</v>
      </c>
      <c r="BH86" s="1069" t="s">
        <v>1802</v>
      </c>
      <c r="BJ86" s="1069" t="s">
        <v>1803</v>
      </c>
      <c r="BL86" s="1069" t="s">
        <v>1804</v>
      </c>
    </row>
    <row customHeight="1" ht="11.25">
      <c r="A87" s="1076" t="s">
        <v>1805</v>
      </c>
      <c r="AZ87" s="1122" t="s">
        <v>1806</v>
      </c>
      <c r="BH87" s="1070" t="s">
        <v>1807</v>
      </c>
      <c r="BJ87" s="1070" t="s">
        <v>1808</v>
      </c>
      <c r="BL87" s="1070" t="s">
        <v>1809</v>
      </c>
    </row>
    <row customHeight="1" ht="11.25">
      <c r="A88" s="1076" t="s">
        <v>1810</v>
      </c>
      <c r="AZ88" s="1608"/>
      <c r="BH88" s="1070" t="s">
        <v>1811</v>
      </c>
      <c r="BJ88" s="1070" t="s">
        <v>1812</v>
      </c>
      <c r="BL88" s="1070" t="s">
        <v>1813</v>
      </c>
    </row>
    <row customHeight="1" ht="11.25">
      <c r="A89" s="1076" t="s">
        <v>1814</v>
      </c>
      <c r="AZ89" s="1069" t="s">
        <v>1815</v>
      </c>
    </row>
    <row customHeight="1" ht="11.25">
      <c r="A90" s="1076" t="s">
        <v>1816</v>
      </c>
      <c r="AZ90" s="1122" t="s">
        <v>1026</v>
      </c>
    </row>
    <row customHeight="1" ht="11.25">
      <c r="A91" s="1076" t="s">
        <v>1817</v>
      </c>
      <c r="AZ91" s="1122" t="s">
        <v>1062</v>
      </c>
      <c r="BH91" s="1069" t="s">
        <v>1818</v>
      </c>
      <c r="BJ91" s="1069" t="s">
        <v>1819</v>
      </c>
      <c r="BL91" s="1069" t="s">
        <v>1820</v>
      </c>
    </row>
    <row customHeight="1" ht="11.25">
      <c r="AZ92" s="1122" t="s">
        <v>1821</v>
      </c>
      <c r="BH92" s="1070" t="s">
        <v>1822</v>
      </c>
      <c r="BJ92" s="1070" t="s">
        <v>1823</v>
      </c>
      <c r="BL92" s="1070" t="s">
        <v>1824</v>
      </c>
    </row>
    <row customHeight="1" ht="11.25">
      <c r="AZ93" s="1122" t="s">
        <v>1825</v>
      </c>
      <c r="BH93" s="1070" t="s">
        <v>1826</v>
      </c>
      <c r="BJ93" s="1070" t="s">
        <v>1827</v>
      </c>
      <c r="BL93" s="1070" t="s">
        <v>1828</v>
      </c>
    </row>
    <row customHeight="1" ht="11.25">
      <c r="AZ94" s="1122" t="s">
        <v>1829</v>
      </c>
    </row>
    <row r="96" customHeight="1" ht="11.25">
      <c r="AZ96" s="1069" t="s">
        <v>1830</v>
      </c>
      <c r="BH96" s="1069" t="s">
        <v>1831</v>
      </c>
      <c r="BJ96" s="1069" t="s">
        <v>1832</v>
      </c>
      <c r="BL96" s="1069" t="s">
        <v>1833</v>
      </c>
      <c r="BN96" s="1069" t="s">
        <v>1834</v>
      </c>
    </row>
    <row customHeight="1" ht="11.25">
      <c r="AZ97" s="1903" t="s">
        <v>1835</v>
      </c>
      <c r="BA97" s="1904" t="s">
        <v>1836</v>
      </c>
      <c r="BH97" s="1070" t="s">
        <v>1837</v>
      </c>
      <c r="BJ97" s="1070" t="s">
        <v>1838</v>
      </c>
      <c r="BL97" s="1070" t="s">
        <v>1839</v>
      </c>
      <c r="BN97" s="1070" t="s">
        <v>1840</v>
      </c>
    </row>
    <row customHeight="1" ht="11.25">
      <c r="AZ98" s="1903" t="s">
        <v>1841</v>
      </c>
      <c r="BA98" s="1904" t="s">
        <v>1842</v>
      </c>
      <c r="BH98" s="1070" t="s">
        <v>1843</v>
      </c>
      <c r="BJ98" s="1070" t="s">
        <v>1844</v>
      </c>
      <c r="BL98" s="1070" t="s">
        <v>1845</v>
      </c>
      <c r="BN98" s="1070" t="s">
        <v>1846</v>
      </c>
    </row>
    <row customHeight="1" ht="22.5">
      <c r="AZ99" s="1903" t="s">
        <v>1847</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1848</v>
      </c>
      <c r="BJ99" s="1070" t="s">
        <v>1849</v>
      </c>
      <c r="BL99" s="1070" t="s">
        <v>1850</v>
      </c>
      <c r="BN99" s="1070" t="s">
        <v>1851</v>
      </c>
    </row>
    <row customHeight="1" ht="22.5">
      <c r="AZ100" s="1903" t="s">
        <v>1852</v>
      </c>
      <c r="BA100"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70" t="s">
        <v>1439</v>
      </c>
      <c r="BL100" s="1070" t="s">
        <v>1439</v>
      </c>
      <c r="BN100" s="1070" t="s">
        <v>1853</v>
      </c>
    </row>
    <row customHeight="1" ht="22.5">
      <c r="AZ101" s="1903" t="s">
        <v>1854</v>
      </c>
      <c r="BA101" s="1904" t="s">
        <v>1855</v>
      </c>
      <c r="BN101" s="1070" t="s">
        <v>1856</v>
      </c>
    </row>
    <row customHeight="1" ht="22.5">
      <c r="AZ102" s="1903" t="s">
        <v>1857</v>
      </c>
      <c r="BA102"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70" t="s">
        <v>1858</v>
      </c>
    </row>
    <row customHeight="1" ht="11.25">
      <c r="AZ103" s="1903" t="s">
        <v>1859</v>
      </c>
      <c r="BA103" s="1904" t="s">
        <v>1860</v>
      </c>
      <c r="BN103" s="1070" t="s">
        <v>1861</v>
      </c>
    </row>
    <row customHeight="1" ht="11.25">
      <c r="BN104" s="1070" t="s">
        <v>1862</v>
      </c>
    </row>
    <row customHeight="1" ht="11.25">
      <c r="AZ105" s="1694" t="s">
        <v>1863</v>
      </c>
    </row>
    <row customHeight="1" ht="11.25">
      <c r="AZ106" s="1122" t="s">
        <v>1864</v>
      </c>
    </row>
    <row customHeight="1" ht="11.25">
      <c r="AZ107" s="1122" t="s">
        <v>1865</v>
      </c>
      <c r="BH107" s="1069" t="s">
        <v>1866</v>
      </c>
      <c r="BJ107" s="1069" t="s">
        <v>1867</v>
      </c>
      <c r="BL107" s="1069" t="s">
        <v>1868</v>
      </c>
      <c r="BN107" s="1069" t="s">
        <v>1869</v>
      </c>
    </row>
    <row customHeight="1" ht="11.25">
      <c r="AZ108" s="1122" t="s">
        <v>579</v>
      </c>
      <c r="BH108" s="1070" t="s">
        <v>1870</v>
      </c>
      <c r="BJ108" s="1070" t="s">
        <v>1871</v>
      </c>
      <c r="BL108" s="1070" t="s">
        <v>1525</v>
      </c>
      <c r="BN108" s="1070" t="s">
        <v>1872</v>
      </c>
    </row>
    <row customHeight="1" ht="11.25">
      <c r="BH109" s="1070" t="s">
        <v>1873</v>
      </c>
    </row>
    <row customHeight="1" ht="11.25">
      <c r="AZ110" s="1694" t="s">
        <v>1874</v>
      </c>
      <c r="BH110" s="1070" t="s">
        <v>1873</v>
      </c>
    </row>
    <row customHeight="1" ht="11.25">
      <c r="AZ111" s="1903" t="s">
        <v>1835</v>
      </c>
      <c r="BA111" s="1904" t="s">
        <v>1836</v>
      </c>
    </row>
    <row customHeight="1" ht="11.25">
      <c r="AZ112" s="1903" t="s">
        <v>1841</v>
      </c>
      <c r="BA112" s="1904" t="s">
        <v>1842</v>
      </c>
    </row>
    <row customHeight="1" ht="22.5">
      <c r="AZ113" s="1903" t="s">
        <v>1847</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1852</v>
      </c>
      <c r="BA114"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9" t="s">
        <v>1875</v>
      </c>
    </row>
    <row customHeight="1" ht="22.5">
      <c r="AZ115" s="1903" t="s">
        <v>1857</v>
      </c>
      <c r="BA115"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70" t="s">
        <v>456</v>
      </c>
    </row>
    <row customHeight="1" ht="11.25">
      <c r="AZ116" s="1903" t="s">
        <v>1859</v>
      </c>
      <c r="BA116" s="1904" t="s">
        <v>1860</v>
      </c>
      <c r="BH116" s="1070" t="s">
        <v>1264</v>
      </c>
    </row>
    <row customHeight="1" ht="11.25">
      <c r="BH117" s="1070" t="s">
        <v>1298</v>
      </c>
    </row>
    <row customHeight="1" ht="11.25">
      <c r="BH118" s="1070" t="s">
        <v>1331</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FF9E5F-A0E1-889A-9D48-0.A5B4E3A4}" mc:Ignorable="x14ac xr xr2 xr3">
  <dimension ref="A1:J25"/>
  <sheetViews>
    <sheetView topLeftCell="A1" showGridLines="0" zoomScale="90" workbookViewId="0">
      <selection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308</v>
      </c>
      <c r="J1" s="457" t="s">
        <v>14</v>
      </c>
    </row>
    <row customHeight="1" ht="22.5" hidden="1">
      <c r="A2" s="504"/>
      <c r="B2" s="504"/>
      <c r="C2" s="1732" t="s">
        <v>454</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309</v>
      </c>
      <c r="E9" s="2207"/>
      <c r="F9" s="2207"/>
      <c r="G9" s="2210" t="s">
        <v>310</v>
      </c>
      <c r="J9" s="457">
        <v>11</v>
      </c>
    </row>
    <row customHeight="1" ht="11.25">
      <c r="A10" s="504"/>
      <c r="B10" s="504"/>
      <c r="C10" s="459"/>
      <c r="D10" s="1476" t="s">
        <v>90</v>
      </c>
      <c r="E10" s="1478" t="s">
        <v>311</v>
      </c>
      <c r="F10" s="1478" t="s">
        <v>312</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5"/>
      <c r="J12" s="457">
        <v>23</v>
      </c>
    </row>
    <row customHeight="1" ht="20.25">
      <c r="A13" s="504"/>
      <c r="B13" s="504"/>
      <c r="C13" s="459"/>
      <c r="D13" s="1522">
        <v>2</v>
      </c>
      <c r="E13" s="1529" t="s">
        <v>1876</v>
      </c>
      <c r="F13" s="1523" t="s">
        <v>315</v>
      </c>
      <c r="G13" s="476"/>
      <c r="H13" s="1535"/>
      <c r="J13" s="457">
        <v>19</v>
      </c>
    </row>
    <row customHeight="1" ht="20.25">
      <c r="A14" s="504"/>
      <c r="B14" s="504"/>
      <c r="C14" s="459"/>
      <c r="D14" s="1525" t="s">
        <v>716</v>
      </c>
      <c r="E14" s="1526" t="s">
        <v>1877</v>
      </c>
      <c r="F14" s="1528"/>
      <c r="G14" s="1527" t="s">
        <v>1878</v>
      </c>
      <c r="H14" s="1535"/>
      <c r="J14" s="457">
        <v>19</v>
      </c>
    </row>
    <row customHeight="1" ht="20.25">
      <c r="A15" s="504"/>
      <c r="B15" s="504"/>
      <c r="C15" s="459"/>
      <c r="D15" s="1525" t="s">
        <v>316</v>
      </c>
      <c r="E15" s="1526" t="s">
        <v>1879</v>
      </c>
      <c r="F15" s="1528"/>
      <c r="G15" s="1527" t="s">
        <v>1880</v>
      </c>
      <c r="H15" s="1535"/>
      <c r="J15" s="457">
        <v>19</v>
      </c>
    </row>
    <row customHeight="1" ht="24">
      <c r="A16" s="504"/>
      <c r="B16" s="504"/>
      <c r="C16" s="459"/>
      <c r="D16" s="1525" t="s">
        <v>319</v>
      </c>
      <c r="E16" s="1524" t="s">
        <v>1881</v>
      </c>
      <c r="F16" s="1533"/>
      <c r="G16" s="476" t="s">
        <v>1882</v>
      </c>
      <c r="H16" s="1535"/>
      <c r="J16" s="457">
        <v>23</v>
      </c>
    </row>
    <row customHeight="1" ht="48">
      <c r="A17" s="504"/>
      <c r="B17" s="504"/>
      <c r="C17" s="459"/>
      <c r="D17" s="1522">
        <v>3</v>
      </c>
      <c r="E17" s="1529" t="s">
        <v>1883</v>
      </c>
      <c r="F17" s="1528"/>
      <c r="G17" s="476" t="s">
        <v>1884</v>
      </c>
      <c r="H17" s="1535"/>
      <c r="J17" s="457">
        <v>46</v>
      </c>
    </row>
    <row customHeight="1" ht="48">
      <c r="A18" s="1477">
        <v>1</v>
      </c>
      <c r="B18" s="504"/>
      <c r="C18" s="1479"/>
      <c r="D18" s="1522" t="s">
        <v>93</v>
      </c>
      <c r="E18" s="1529" t="s">
        <v>1885</v>
      </c>
      <c r="F18" s="1528"/>
      <c r="G18" s="476" t="s">
        <v>1884</v>
      </c>
      <c r="H18" s="1535"/>
      <c r="I18" s="854"/>
      <c r="J18" s="457">
        <v>46</v>
      </c>
    </row>
    <row customHeight="1" ht="23.25">
      <c r="A19" s="504"/>
      <c r="B19" s="504"/>
      <c r="C19" s="459"/>
      <c r="D19" s="1522" t="s">
        <v>113</v>
      </c>
      <c r="E19" s="1529" t="s">
        <v>1886</v>
      </c>
      <c r="F19" s="1523" t="s">
        <v>315</v>
      </c>
      <c r="G19" s="2473" t="s">
        <v>1887</v>
      </c>
      <c r="H19" s="477"/>
      <c r="J19" s="457">
        <v>22</v>
      </c>
    </row>
    <row s="1532" customFormat="1" customHeight="1" ht="5.25" hidden="1">
      <c r="A20" s="504"/>
      <c r="B20" s="504"/>
      <c r="C20" s="1531"/>
      <c r="D20" s="1530" t="s">
        <v>1123</v>
      </c>
      <c r="E20" s="1016"/>
      <c r="F20" s="1015"/>
      <c r="G20" s="2474"/>
      <c r="J20" s="1532">
        <v>0</v>
      </c>
    </row>
    <row customHeight="1" ht="15.75">
      <c r="A21" s="504"/>
      <c r="B21" s="504"/>
      <c r="C21" s="459"/>
      <c r="D21" s="469"/>
      <c r="E21" s="417" t="s">
        <v>348</v>
      </c>
      <c r="F21" s="471"/>
      <c r="G21" s="2475"/>
      <c r="H21" s="1535"/>
      <c r="J21" s="457">
        <v>15</v>
      </c>
    </row>
    <row s="503" customFormat="1" customHeight="1" ht="26.25">
      <c r="A22" s="504"/>
      <c r="B22" s="504"/>
      <c r="C22" s="504"/>
      <c r="D22" s="1522" t="s">
        <v>94</v>
      </c>
      <c r="E22" s="476" t="s">
        <v>1888</v>
      </c>
      <c r="F22" s="1528"/>
      <c r="G22" s="476" t="s">
        <v>1889</v>
      </c>
      <c r="H22" s="1534"/>
      <c r="J22" s="503">
        <v>25</v>
      </c>
    </row>
    <row s="503" customFormat="1" customHeight="1" ht="20.25">
      <c r="A23" s="504"/>
      <c r="B23" s="504"/>
      <c r="C23" s="504"/>
      <c r="D23" s="1522" t="s">
        <v>95</v>
      </c>
      <c r="E23" s="1529" t="s">
        <v>1890</v>
      </c>
      <c r="F23" s="1533"/>
      <c r="G23" s="476" t="s">
        <v>1891</v>
      </c>
      <c r="H23" s="1534"/>
      <c r="J23" s="503">
        <v>19</v>
      </c>
    </row>
    <row s="503" customFormat="1" customHeight="1" ht="144" hidden="1">
      <c r="A24" s="504"/>
      <c r="B24" s="504"/>
      <c r="C24" s="504"/>
      <c r="D24" s="1522" t="s">
        <v>114</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4"/>
      <c r="J24" s="503">
        <v>0</v>
      </c>
    </row>
    <row customHeight="1" ht="11.25" hidden="1">
      <c r="A25" s="503" t="s">
        <v>84</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F68E54-6E9B-144C-F2FA-0.3EF67A86}" mc:Ignorable="x14ac xr xr2 xr3">
  <dimension ref="A1:IU24"/>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1892</v>
      </c>
      <c r="G1" s="1633" t="s">
        <v>50</v>
      </c>
      <c r="H1" s="1633" t="s">
        <v>52</v>
      </c>
      <c r="IU1" s="1157" t="s">
        <v>14</v>
      </c>
    </row>
    <row s="1852" customFormat="1" customHeight="1" ht="22.5" hidden="1">
      <c r="A2" s="833"/>
      <c r="B2" s="1162">
        <v>1</v>
      </c>
      <c r="C2" s="1162"/>
      <c r="D2" s="1930" t="s">
        <v>454</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85</v>
      </c>
      <c r="G3" s="496" t="s">
        <v>86</v>
      </c>
      <c r="H3" s="496"/>
      <c r="I3" s="496"/>
      <c r="J3" s="229" t="s">
        <v>87</v>
      </c>
      <c r="K3" s="249" t="s">
        <v>85</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309</v>
      </c>
      <c r="F7" s="2104"/>
      <c r="G7" s="2104"/>
      <c r="H7" s="2104"/>
      <c r="I7" s="2104"/>
      <c r="J7" s="2476" t="s">
        <v>310</v>
      </c>
      <c r="K7" s="502"/>
      <c r="L7" s="502"/>
      <c r="M7" s="502"/>
      <c r="N7" s="502"/>
      <c r="O7" s="228"/>
      <c r="P7" s="502"/>
      <c r="Q7" s="227"/>
      <c r="R7" s="227"/>
      <c r="S7" s="227"/>
      <c r="T7" s="227"/>
      <c r="IU7" s="509">
        <v>14</v>
      </c>
    </row>
    <row s="1821" customFormat="1" customHeight="1" ht="21">
      <c r="A8" s="1157"/>
      <c r="B8" s="1162"/>
      <c r="C8" s="1157"/>
      <c r="D8" s="1497"/>
      <c r="E8" s="1550" t="s">
        <v>90</v>
      </c>
      <c r="F8" s="1542" t="s">
        <v>1892</v>
      </c>
      <c r="G8" s="1542" t="s">
        <v>50</v>
      </c>
      <c r="H8" s="1542" t="s">
        <v>52</v>
      </c>
      <c r="I8" s="1542" t="s">
        <v>1893</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1894</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84</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7E81A6-1B04-6803-A356-0.0957002E}"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454</v>
      </c>
      <c r="E2" s="1891"/>
      <c r="F2" s="1894" t="str">
        <f>IF(ROIV_INFO_NAME="","",ROIV_INFO_NAME)</f>
        <v>АО "РСП ТПК КГРЭС"</v>
      </c>
      <c r="G2" s="1919" t="s">
        <v>28</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85</v>
      </c>
      <c r="G3" s="1737" t="s">
        <v>86</v>
      </c>
      <c r="H3" s="496"/>
      <c r="I3" s="496"/>
      <c r="J3" s="496"/>
      <c r="K3" s="496"/>
      <c r="L3" s="229" t="s">
        <v>87</v>
      </c>
      <c r="M3" s="249" t="s">
        <v>85</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309</v>
      </c>
      <c r="F7" s="2104"/>
      <c r="G7" s="2104"/>
      <c r="H7" s="2104"/>
      <c r="I7" s="2104"/>
      <c r="J7" s="2104"/>
      <c r="K7" s="2104"/>
      <c r="L7" s="2476" t="s">
        <v>310</v>
      </c>
      <c r="M7" s="502"/>
      <c r="N7" s="502"/>
      <c r="O7" s="502"/>
      <c r="P7" s="502"/>
      <c r="Q7" s="228"/>
      <c r="R7" s="502"/>
      <c r="S7" s="227"/>
      <c r="T7" s="227"/>
      <c r="U7" s="227"/>
      <c r="V7" s="227"/>
      <c r="IW7" s="509">
        <v>14</v>
      </c>
    </row>
    <row s="1821" customFormat="1" customHeight="1" ht="67.5">
      <c r="A8" s="1157"/>
      <c r="B8" s="1162"/>
      <c r="C8" s="1157"/>
      <c r="D8" s="1497"/>
      <c r="E8" s="2480" t="s">
        <v>90</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1895</v>
      </c>
      <c r="H9" s="1539" t="s">
        <v>1896</v>
      </c>
      <c r="I9" s="1539" t="s">
        <v>1897</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28</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1898</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84</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2FD71CE-D6E2-EA2F-3429-0.CCF362F2}"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454</v>
      </c>
      <c r="E2" s="1906"/>
      <c r="F2" s="1908" t="str">
        <f>IF(ROIV_INFO_NAME="","",ROIV_INFO_NAME)</f>
        <v>АО "РСП ТПК КГРЭС"</v>
      </c>
      <c r="G2" s="1734" t="s">
        <v>28</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85</v>
      </c>
      <c r="G3" s="1737" t="s">
        <v>86</v>
      </c>
      <c r="H3" s="1895"/>
      <c r="I3" s="1895"/>
      <c r="J3" s="1895"/>
      <c r="K3" s="1895"/>
      <c r="L3" s="229" t="s">
        <v>87</v>
      </c>
      <c r="M3" s="250" t="s">
        <v>85</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309</v>
      </c>
      <c r="F7" s="2104"/>
      <c r="G7" s="2104"/>
      <c r="H7" s="2104"/>
      <c r="I7" s="2104"/>
      <c r="J7" s="2104"/>
      <c r="K7" s="2104"/>
      <c r="L7" s="2476" t="s">
        <v>310</v>
      </c>
      <c r="M7" s="1626"/>
      <c r="N7" s="1626"/>
      <c r="O7" s="1626"/>
      <c r="P7" s="1626"/>
      <c r="Q7" s="1626"/>
      <c r="R7" s="1626"/>
      <c r="S7" s="227"/>
      <c r="T7" s="227"/>
      <c r="U7" s="227"/>
      <c r="V7" s="227"/>
      <c r="IW7" s="1611">
        <v>14</v>
      </c>
    </row>
    <row s="1821" customFormat="1" customHeight="1" ht="67.5">
      <c r="A8" s="1633"/>
      <c r="B8" s="1368"/>
      <c r="C8" s="1633"/>
      <c r="D8" s="1517"/>
      <c r="E8" s="2480" t="s">
        <v>90</v>
      </c>
      <c r="F8" s="2480" t="s">
        <v>1899</v>
      </c>
      <c r="G8" s="2482" t="s">
        <v>1900</v>
      </c>
      <c r="H8" s="2483"/>
      <c r="I8" s="2484"/>
      <c r="J8" s="2480" t="s">
        <v>1901</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1895</v>
      </c>
      <c r="H9" s="1896" t="s">
        <v>1896</v>
      </c>
      <c r="I9" s="1896" t="s">
        <v>1897</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28</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1898</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84</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4C025F-A80E-6F5E-2B6B-0.E19DA4D9}" mc:Ignorable="x14ac xr xr2 xr3">
  <dimension ref="A1:Q19"/>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454</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1902</v>
      </c>
      <c r="L3" s="1545"/>
      <c r="M3" s="1922"/>
      <c r="N3" s="1915"/>
      <c r="O3" s="1537"/>
      <c r="P3" s="513"/>
      <c r="Q3" s="425">
        <v>0</v>
      </c>
    </row>
    <row s="1644" customFormat="1" customHeight="1" ht="5.25" hidden="1">
      <c r="A4" s="498"/>
      <c r="D4" s="496"/>
      <c r="F4" s="249" t="s">
        <v>85</v>
      </c>
      <c r="G4" s="496" t="s">
        <v>86</v>
      </c>
      <c r="H4" s="496"/>
      <c r="I4" s="1925"/>
      <c r="J4" s="1546"/>
      <c r="K4" s="1913"/>
      <c r="L4" s="1913"/>
      <c r="M4" s="1913"/>
      <c r="N4" s="1909"/>
      <c r="O4" s="249" t="s">
        <v>85</v>
      </c>
      <c r="P4" s="249"/>
      <c r="Q4" s="513">
        <v>0</v>
      </c>
    </row>
    <row s="1852" customFormat="1" customHeight="1" ht="22.5" hidden="1">
      <c r="A5" s="1643"/>
      <c r="B5" s="1368">
        <v>1</v>
      </c>
      <c r="C5" s="1368"/>
      <c r="D5" s="803"/>
      <c r="E5" s="1915"/>
      <c r="F5" s="1915"/>
      <c r="G5" s="1915"/>
      <c r="H5" s="1926"/>
      <c r="I5" s="1931" t="s">
        <v>454</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309</v>
      </c>
      <c r="F10" s="2129"/>
      <c r="G10" s="2129"/>
      <c r="H10" s="2129"/>
      <c r="I10" s="2129"/>
      <c r="J10" s="2129"/>
      <c r="K10" s="2129"/>
      <c r="L10" s="2129"/>
      <c r="M10" s="2103"/>
      <c r="N10" s="2480" t="s">
        <v>310</v>
      </c>
      <c r="O10" s="502"/>
      <c r="P10" s="502"/>
      <c r="Q10" s="509">
        <v>14</v>
      </c>
    </row>
    <row s="1821" customFormat="1" customHeight="1" ht="44.25">
      <c r="A11" s="1633"/>
      <c r="B11" s="1368"/>
      <c r="C11" s="1633"/>
      <c r="D11" s="1517"/>
      <c r="E11" s="2494" t="s">
        <v>90</v>
      </c>
      <c r="F11" s="2494" t="s">
        <v>313</v>
      </c>
      <c r="G11" s="2494" t="s">
        <v>1903</v>
      </c>
      <c r="H11" s="2494"/>
      <c r="I11" s="2494" t="s">
        <v>1904</v>
      </c>
      <c r="J11" s="2494"/>
      <c r="K11" s="2494"/>
      <c r="L11" s="2494" t="s">
        <v>1905</v>
      </c>
      <c r="M11" s="2482" t="s">
        <v>1906</v>
      </c>
      <c r="N11" s="2493"/>
      <c r="O11" s="1626"/>
      <c r="P11" s="1626"/>
      <c r="Q11" s="1611">
        <v>42</v>
      </c>
    </row>
    <row s="1821" customFormat="1" customHeight="1" ht="29.25">
      <c r="A12" s="1157"/>
      <c r="B12" s="1162"/>
      <c r="C12" s="1157"/>
      <c r="D12" s="1497"/>
      <c r="E12" s="2480"/>
      <c r="F12" s="2494"/>
      <c r="G12" s="1911" t="s">
        <v>1907</v>
      </c>
      <c r="H12" s="1911" t="s">
        <v>317</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1908</v>
      </c>
      <c r="O13" s="1537"/>
      <c r="P13" s="513"/>
      <c r="Q13" s="425">
        <v>22</v>
      </c>
    </row>
    <row s="1852" customFormat="1" customHeight="1" ht="23.25">
      <c r="A14" s="2101"/>
      <c r="B14" s="1162"/>
      <c r="C14" s="1162"/>
      <c r="D14" s="803"/>
      <c r="E14" s="2129"/>
      <c r="F14" s="2488"/>
      <c r="G14" s="2489"/>
      <c r="H14" s="2497"/>
      <c r="I14" s="423"/>
      <c r="J14" s="1502"/>
      <c r="K14" s="1502" t="s">
        <v>1902</v>
      </c>
      <c r="L14" s="1545"/>
      <c r="M14" s="1545"/>
      <c r="N14" s="2491"/>
      <c r="O14" s="1537"/>
      <c r="P14" s="513"/>
      <c r="Q14" s="425">
        <v>22</v>
      </c>
    </row>
    <row s="1852" customFormat="1" customHeight="1" ht="23.25">
      <c r="A15" s="2101"/>
      <c r="B15" s="1162"/>
      <c r="C15" s="414"/>
      <c r="D15" s="803"/>
      <c r="E15" s="423"/>
      <c r="F15" s="1502" t="s">
        <v>1894</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84</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E46AFA-B925-1861-5EB6-0.F3E9D3C1}"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1909</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309</v>
      </c>
      <c r="E8" s="2211"/>
      <c r="F8" s="2211"/>
      <c r="G8" s="2211"/>
      <c r="H8" s="2211"/>
      <c r="I8" s="2211" t="s">
        <v>310</v>
      </c>
      <c r="M8" s="123">
        <v>14</v>
      </c>
    </row>
    <row customHeight="1" ht="29.25">
      <c r="D9" s="2211" t="s">
        <v>90</v>
      </c>
      <c r="E9" s="2211" t="s">
        <v>1910</v>
      </c>
      <c r="F9" s="2211"/>
      <c r="G9" s="2211"/>
      <c r="H9" s="2211"/>
      <c r="I9" s="2211"/>
      <c r="M9" s="123">
        <v>28</v>
      </c>
    </row>
    <row customHeight="1" ht="24">
      <c r="D10" s="2211"/>
      <c r="E10" s="129" t="s">
        <v>1911</v>
      </c>
      <c r="F10" s="129" t="s">
        <v>1912</v>
      </c>
      <c r="G10" s="129" t="s">
        <v>1913</v>
      </c>
      <c r="H10" s="129" t="s">
        <v>399</v>
      </c>
      <c r="I10" s="2211"/>
      <c r="M10" s="123">
        <v>23</v>
      </c>
    </row>
    <row customHeight="1" ht="12" hidden="1">
      <c r="D11" s="89" t="s">
        <v>111</v>
      </c>
      <c r="E11" s="89" t="s">
        <v>93</v>
      </c>
      <c r="F11" s="89" t="s">
        <v>113</v>
      </c>
      <c r="G11" s="89" t="s">
        <v>94</v>
      </c>
      <c r="H11" s="89" t="s">
        <v>95</v>
      </c>
      <c r="I11" s="89" t="s">
        <v>114</v>
      </c>
      <c r="M11" s="123">
        <v>0</v>
      </c>
    </row>
    <row s="1825" customFormat="1" customHeight="1" ht="26.25">
      <c r="A12" s="147" t="s">
        <v>92</v>
      </c>
      <c r="B12" s="127" t="s">
        <v>28</v>
      </c>
      <c r="C12" s="128"/>
      <c r="D12" s="130" t="s">
        <v>111</v>
      </c>
      <c r="E12" s="383"/>
      <c r="F12" s="383"/>
      <c r="G12" s="1736" t="s">
        <v>28</v>
      </c>
      <c r="H12" s="384"/>
      <c r="I12" s="2171" t="s">
        <v>1914</v>
      </c>
      <c r="K12" s="274"/>
      <c r="L12" s="275"/>
      <c r="M12" s="119">
        <v>25</v>
      </c>
    </row>
    <row customHeight="1" ht="15.75">
      <c r="A13" s="123"/>
      <c r="B13" s="123"/>
      <c r="C13" s="123"/>
      <c r="D13" s="111"/>
      <c r="E13" s="132" t="s">
        <v>476</v>
      </c>
      <c r="F13" s="131"/>
      <c r="G13" s="131"/>
      <c r="H13" s="216"/>
      <c r="I13" s="2173"/>
      <c r="M13" s="123">
        <v>15</v>
      </c>
    </row>
    <row customHeight="1" ht="3">
      <c r="A14" s="123"/>
      <c r="B14" s="123"/>
      <c r="C14" s="123"/>
      <c r="M14" s="123">
        <v>3</v>
      </c>
    </row>
    <row customHeight="1" ht="29.25">
      <c r="E15" s="2498" t="s">
        <v>1915</v>
      </c>
      <c r="F15" s="2498"/>
      <c r="G15" s="2498"/>
      <c r="H15" s="2498"/>
      <c r="M15" s="123">
        <v>28</v>
      </c>
    </row>
    <row customHeight="1" ht="14.25" hidden="1">
      <c r="A16" s="120" t="s">
        <v>84</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A39C31-8BB7-C00E-3AD2-0.0F172FE9}" mc:Ignorable="x14ac xr xr2 xr3">
  <sheetPr>
    <tabColor rgb="FFCCCCFF"/>
    <pageSetUpPr fitToPage="1"/>
  </sheetPr>
  <dimension ref="A1:J16"/>
  <sheetViews>
    <sheetView topLeftCell="A1" showGridLines="0" zoomScale="90" workbookViewId="0">
      <selection activeCell="E12" sqref="E12"/>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1916</v>
      </c>
      <c r="E7" s="2500"/>
      <c r="F7" s="269"/>
      <c r="J7" s="71">
        <v>22</v>
      </c>
    </row>
    <row customHeight="1" ht="3">
      <c r="C8" s="94"/>
      <c r="D8" s="72"/>
      <c r="E8" s="72"/>
      <c r="J8" s="71">
        <v>3</v>
      </c>
    </row>
    <row customHeight="1" ht="16.5">
      <c r="C9" s="94"/>
      <c r="D9" s="107" t="s">
        <v>90</v>
      </c>
      <c r="E9" s="262" t="s">
        <v>1917</v>
      </c>
      <c r="J9" s="71">
        <v>16</v>
      </c>
    </row>
    <row customHeight="1" ht="0.75">
      <c r="C10" s="94"/>
      <c r="D10" s="89"/>
      <c r="E10" s="89"/>
      <c r="J10" s="71">
        <v>1</v>
      </c>
    </row>
    <row customHeight="1" ht="11.25" hidden="1">
      <c r="C11" s="94"/>
      <c r="D11" s="152">
        <v>0</v>
      </c>
      <c r="E11" s="263"/>
      <c r="J11" s="71">
        <v>0</v>
      </c>
    </row>
    <row customHeight="1" ht="66">
      <c r="C12" s="138"/>
      <c r="D12" s="115">
        <v>1</v>
      </c>
      <c r="E12" s="379" t="s">
        <v>1918</v>
      </c>
      <c r="J12" s="71">
        <v>15</v>
      </c>
    </row>
    <row customHeight="1" ht="12.75">
      <c r="C13" s="94"/>
      <c r="D13" s="264"/>
      <c r="E13" s="265" t="s">
        <v>1919</v>
      </c>
      <c r="J13" s="71">
        <v>12</v>
      </c>
    </row>
    <row customHeight="1" ht="3">
      <c r="J14" s="71">
        <v>3</v>
      </c>
    </row>
    <row customHeight="1" ht="23.25">
      <c r="C15" s="139"/>
      <c r="D15" s="2501" t="s">
        <v>1920</v>
      </c>
      <c r="E15" s="2501"/>
      <c r="F15" s="140"/>
      <c r="G15" s="140"/>
      <c r="H15" s="140"/>
      <c r="I15" s="140"/>
      <c r="J15" s="71">
        <v>22</v>
      </c>
    </row>
    <row customHeight="1" ht="14.25" hidden="1">
      <c r="A16" s="71" t="s">
        <v>84</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C69221-65CD-F169-70F4-0.A0729BDA}"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1921</v>
      </c>
      <c r="E7" s="2102"/>
      <c r="F7" s="269"/>
      <c r="M7" s="71">
        <v>22</v>
      </c>
    </row>
    <row customHeight="1" ht="3">
      <c r="C8" s="94"/>
      <c r="D8" s="72"/>
      <c r="E8" s="72"/>
      <c r="M8" s="71">
        <v>3</v>
      </c>
    </row>
    <row customHeight="1" ht="16.5">
      <c r="C9" s="94"/>
      <c r="D9" s="107" t="s">
        <v>90</v>
      </c>
      <c r="E9" s="110" t="s">
        <v>296</v>
      </c>
      <c r="M9" s="71">
        <v>16</v>
      </c>
    </row>
    <row customHeight="1" ht="12.75">
      <c r="C10" s="94"/>
      <c r="D10" s="89" t="s">
        <v>111</v>
      </c>
      <c r="E10" s="89" t="s">
        <v>112</v>
      </c>
      <c r="M10" s="71">
        <v>12</v>
      </c>
    </row>
    <row customHeight="1" ht="15" hidden="1">
      <c r="C11" s="94"/>
      <c r="D11" s="115">
        <v>0</v>
      </c>
      <c r="E11" s="151"/>
      <c r="M11" s="71">
        <v>0</v>
      </c>
    </row>
    <row customHeight="1" ht="15">
      <c r="C12" s="94"/>
      <c r="D12" s="111"/>
      <c r="E12" s="109" t="s">
        <v>1919</v>
      </c>
      <c r="M12" s="71">
        <v>14</v>
      </c>
    </row>
    <row customHeight="1" ht="14.25" hidden="1">
      <c r="A13" s="71" t="s">
        <v>84</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41C253-39B2-026F-5E56-0.CE8DD323}"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1922</v>
      </c>
      <c r="C2" s="2502"/>
      <c r="D2" s="2502"/>
      <c r="E2" s="270"/>
      <c r="F2" s="91">
        <v>22</v>
      </c>
    </row>
    <row customHeight="1" ht="3">
      <c r="F3" s="91">
        <v>3</v>
      </c>
    </row>
    <row customHeight="1" ht="23.25">
      <c r="B4" s="2616" t="s">
        <v>1923</v>
      </c>
      <c r="C4" s="385" t="s">
        <v>1924</v>
      </c>
      <c r="D4" s="385" t="s">
        <v>1925</v>
      </c>
      <c r="F4" s="91">
        <v>22</v>
      </c>
    </row>
    <row customHeight="1" ht="11.25" hidden="1">
      <c r="A5" s="91" t="s">
        <v>84</v>
      </c>
      <c r="B5" s="91">
        <v>34</v>
      </c>
      <c r="C5" s="91">
        <v>85</v>
      </c>
      <c r="D5" s="91">
        <v>17</v>
      </c>
      <c r="E5" s="91">
        <v>8</v>
      </c>
      <c r="F5" s="91">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1E15CD-0DFE-D63A-CE31-0.6AA1576F}"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1926</v>
      </c>
    </row>
    <row r="4" s="266" customFormat="1" customHeight="1" ht="15">
      <c r="C4" s="1818"/>
      <c r="D4" s="115"/>
      <c r="E4" s="379"/>
    </row>
    <row r="6" s="1817" customFormat="1" customHeight="1" ht="17.25">
      <c r="A6" s="1817" t="s">
        <v>1927</v>
      </c>
    </row>
    <row r="8" s="266" customFormat="1" customHeight="1" ht="17.25">
      <c r="C8" s="1819"/>
      <c r="D8" s="115"/>
      <c r="E8" s="116"/>
    </row>
    <row r="11" s="1817" customFormat="1" customHeight="1" ht="17.25">
      <c r="A11" s="1817" t="s">
        <v>1928</v>
      </c>
    </row>
    <row r="13" s="1821" customFormat="1" customHeight="1" ht="15">
      <c r="A13" s="2219">
        <v>1</v>
      </c>
      <c r="B13" s="1162"/>
      <c r="C13" s="803" t="s">
        <v>454</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104</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1929</v>
      </c>
    </row>
    <row r="19" s="1852" customFormat="1" customHeight="1" ht="15">
      <c r="A19" s="1884"/>
      <c r="B19" s="1368">
        <v>1</v>
      </c>
      <c r="C19" s="1368"/>
      <c r="D19" s="802" t="s">
        <v>454</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1930</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454</v>
      </c>
      <c r="D23" s="2110" t="s">
        <v>111</v>
      </c>
      <c r="E23" s="2111"/>
      <c r="F23" s="2109" t="s">
        <v>19</v>
      </c>
      <c r="G23" s="2559"/>
      <c r="H23" s="2129">
        <v>1</v>
      </c>
      <c r="I23" s="2561" t="str">
        <f>IF(U23="","",INDEX(TERRITORY_MR_LIST,MATCH(U23,TERRITORY_LIST_ID,0)))</f>
        <v/>
      </c>
      <c r="J23" s="2109" t="s">
        <v>19</v>
      </c>
      <c r="K23" s="834"/>
      <c r="L23" s="1784" t="s">
        <v>111</v>
      </c>
      <c r="M23" s="605"/>
      <c r="N23" s="606"/>
      <c r="O23" s="606"/>
      <c r="P23" s="606"/>
      <c r="Q23" s="606"/>
      <c r="R23" s="606"/>
      <c r="S23" s="606"/>
      <c r="T23" s="606"/>
      <c r="U23" s="607"/>
      <c r="V23" s="606"/>
      <c r="W23" s="606"/>
      <c r="X23" s="597"/>
      <c r="Y23" s="597" t="s">
        <v>120</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121</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122</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1931</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454</v>
      </c>
      <c r="H29" s="2105">
        <v>1</v>
      </c>
      <c r="I29" s="2564" t="str">
        <f>IF(U29="","",INDEX(TERRITORY_MR_LIST,MATCH(U29,TERRITORY_LIST_ID,0)))</f>
        <v/>
      </c>
      <c r="J29" s="2109" t="s">
        <v>19</v>
      </c>
      <c r="K29" s="834"/>
      <c r="L29" s="1784" t="s">
        <v>111</v>
      </c>
      <c r="M29" s="605"/>
      <c r="N29" s="606"/>
      <c r="O29" s="606"/>
      <c r="P29" s="606"/>
      <c r="Q29" s="606"/>
      <c r="R29" s="606"/>
      <c r="S29" s="606"/>
      <c r="T29" s="606"/>
      <c r="U29" s="607"/>
      <c r="V29" s="606"/>
      <c r="W29" s="606"/>
      <c r="X29" s="597"/>
      <c r="Y29" s="597" t="s">
        <v>120</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121</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1932</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454</v>
      </c>
      <c r="L34" s="1731" t="s">
        <v>111</v>
      </c>
      <c r="M34" s="813"/>
      <c r="N34" s="814"/>
      <c r="O34" s="606"/>
      <c r="P34" s="606"/>
      <c r="Q34" s="606"/>
      <c r="R34" s="606"/>
      <c r="S34" s="606"/>
      <c r="T34" s="606"/>
      <c r="U34" s="607"/>
      <c r="V34" s="606"/>
      <c r="W34" s="606"/>
      <c r="X34" s="597"/>
      <c r="Y34" s="597" t="s">
        <v>120</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1933</v>
      </c>
    </row>
    <row customHeight="1" ht="11.25"/>
    <row s="457" customFormat="1" customHeight="1" ht="22.5">
      <c r="A39" s="1793"/>
      <c r="B39" s="459"/>
      <c r="C39" s="861"/>
      <c r="D39" s="442"/>
      <c r="E39" s="862"/>
      <c r="F39" s="1814"/>
      <c r="G39" s="1824"/>
      <c r="H39" s="477"/>
    </row>
    <row customHeight="1" ht="11.25"/>
    <row s="1817" customFormat="1" customHeight="1" ht="11.25">
      <c r="A41" s="1817" t="s">
        <v>1934</v>
      </c>
    </row>
    <row customHeight="1" ht="11.25"/>
    <row s="457" customFormat="1" customHeight="1" ht="22.5">
      <c r="A43" s="459"/>
      <c r="B43" s="459"/>
      <c r="C43" s="459"/>
      <c r="D43" s="442"/>
      <c r="E43" s="862"/>
      <c r="F43" s="863"/>
      <c r="G43" s="1824"/>
      <c r="H43" s="477"/>
    </row>
    <row customHeight="1" ht="11.25"/>
    <row s="1817" customFormat="1" customHeight="1" ht="11.25">
      <c r="A45" s="1817" t="s">
        <v>1935</v>
      </c>
    </row>
    <row customHeight="1" ht="11.25"/>
    <row s="457" customFormat="1" customHeight="1" ht="24">
      <c r="A47" s="2204" t="s">
        <v>322</v>
      </c>
      <c r="B47" s="504"/>
      <c r="C47" s="2215"/>
      <c r="D47" s="447" t="str">
        <f>A47</f>
        <v>5.1</v>
      </c>
      <c r="E47" s="444" t="s">
        <v>323</v>
      </c>
      <c r="F47" s="1978" t="s">
        <v>315</v>
      </c>
      <c r="G47" s="446" t="s">
        <v>324</v>
      </c>
      <c r="H47" s="477"/>
      <c r="I47" s="854"/>
    </row>
    <row s="457" customFormat="1" customHeight="1" ht="22.5">
      <c r="A48" s="2204"/>
      <c r="B48" s="504"/>
      <c r="C48" s="2215"/>
      <c r="D48" s="442" t="str">
        <f>D47&amp;".1"</f>
        <v>5.1.1</v>
      </c>
      <c r="E48" s="441" t="s">
        <v>325</v>
      </c>
      <c r="F48" s="1979" t="s">
        <v>28</v>
      </c>
      <c r="G48" s="476"/>
      <c r="H48" s="477"/>
      <c r="I48" s="854"/>
    </row>
    <row s="457" customFormat="1" customHeight="1" ht="22.5">
      <c r="A49" s="2204"/>
      <c r="B49" s="504"/>
      <c r="C49" s="2215"/>
      <c r="D49" s="442" t="str">
        <f>D47&amp;".2"</f>
        <v>5.1.2</v>
      </c>
      <c r="E49" s="441" t="s">
        <v>326</v>
      </c>
      <c r="F49" s="1734" t="s">
        <v>28</v>
      </c>
      <c r="G49" s="446" t="s">
        <v>327</v>
      </c>
      <c r="H49" s="477"/>
      <c r="I49" s="854"/>
    </row>
    <row s="457" customFormat="1" customHeight="1" ht="22.5">
      <c r="A50" s="2204"/>
      <c r="B50" s="504"/>
      <c r="C50" s="2215"/>
      <c r="D50" s="442" t="str">
        <f>D47&amp;".3"</f>
        <v>5.1.3</v>
      </c>
      <c r="E50" s="441" t="s">
        <v>328</v>
      </c>
      <c r="F50" s="1979" t="s">
        <v>28</v>
      </c>
      <c r="G50" s="476"/>
      <c r="H50" s="477"/>
      <c r="I50" s="854"/>
    </row>
    <row s="457" customFormat="1" customHeight="1" ht="22.5">
      <c r="A51" s="2204"/>
      <c r="B51" s="504"/>
      <c r="C51" s="2215"/>
      <c r="D51" s="442" t="str">
        <f>D47&amp;".4"</f>
        <v>5.1.4</v>
      </c>
      <c r="E51" s="441" t="s">
        <v>329</v>
      </c>
      <c r="F51" s="1979" t="s">
        <v>28</v>
      </c>
      <c r="G51" s="446" t="s">
        <v>330</v>
      </c>
      <c r="H51" s="477"/>
      <c r="I51" s="854"/>
    </row>
    <row r="54" s="1817" customFormat="1" customHeight="1" ht="17.25">
      <c r="A54" s="1817" t="s">
        <v>1936</v>
      </c>
    </row>
    <row r="56" s="1614" customFormat="1" customHeight="1" ht="18.75">
      <c r="A56" s="91"/>
      <c r="B56" s="1825"/>
      <c r="C56" s="1825"/>
      <c r="D56" s="1826"/>
      <c r="E56" s="1811"/>
      <c r="F56" s="870">
        <v>13</v>
      </c>
      <c r="G56" s="869"/>
      <c r="H56" s="795"/>
      <c r="I56" s="793"/>
      <c r="J56" s="522" t="s">
        <v>68</v>
      </c>
      <c r="K56" s="1827" t="s">
        <v>28</v>
      </c>
      <c r="L56" s="91"/>
      <c r="M56" s="1638"/>
      <c r="N56" s="1638"/>
      <c r="O56" s="1638"/>
      <c r="P56" s="518" t="s">
        <v>401</v>
      </c>
      <c r="Q56" s="518" t="s">
        <v>402</v>
      </c>
      <c r="R56" s="519" t="s">
        <v>403</v>
      </c>
      <c r="S56" s="1638" t="s">
        <v>404</v>
      </c>
      <c r="T56" s="1638"/>
      <c r="U56" s="1638"/>
      <c r="V56" s="1638"/>
    </row>
    <row r="58" s="1817" customFormat="1" customHeight="1" ht="11.25">
      <c r="A58" s="1817" t="s">
        <v>1937</v>
      </c>
    </row>
    <row r="60" s="1637" customFormat="1" customHeight="1" ht="14.25">
      <c r="C60" s="1690"/>
      <c r="D60" s="1871"/>
      <c r="E60" s="1779" t="s">
        <v>28</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390</v>
      </c>
      <c r="AQ60" s="1626" t="s">
        <v>390</v>
      </c>
      <c r="AR60" s="1638"/>
      <c r="AS60" s="1638"/>
    </row>
    <row r="62" s="1817" customFormat="1" customHeight="1" ht="11.25">
      <c r="A62" s="1817" t="s">
        <v>1938</v>
      </c>
    </row>
    <row r="64" s="1825" customFormat="1" customHeight="1" ht="15">
      <c r="A64" s="147" t="s">
        <v>92</v>
      </c>
      <c r="B64" s="127" t="s">
        <v>28</v>
      </c>
      <c r="C64" s="1828"/>
      <c r="D64" s="130"/>
      <c r="E64" s="383"/>
      <c r="F64" s="383"/>
      <c r="G64" s="1805"/>
      <c r="H64" s="1827"/>
      <c r="I64" s="1806"/>
      <c r="K64" s="274"/>
      <c r="L64" s="275"/>
    </row>
    <row r="66" s="1817" customFormat="1" customHeight="1" ht="11.25">
      <c r="A66" s="1817" t="s">
        <v>1939</v>
      </c>
    </row>
    <row r="68" s="1637" customFormat="1" customHeight="1" ht="14.25">
      <c r="A68" s="345"/>
      <c r="B68" s="1162"/>
      <c r="C68" s="378"/>
      <c r="D68" s="1812"/>
      <c r="E68" s="888"/>
      <c r="F68" s="1827"/>
      <c r="G68" s="91"/>
      <c r="I68" s="1626"/>
      <c r="J68" s="1626"/>
    </row>
    <row r="70" s="1817" customFormat="1" customHeight="1" ht="11.25">
      <c r="A70" s="1817" t="s">
        <v>1940</v>
      </c>
    </row>
    <row r="72" s="1637" customFormat="1" customHeight="1" ht="27">
      <c r="A72" s="1168"/>
      <c r="B72" s="1168"/>
      <c r="C72" s="1168"/>
      <c r="D72" s="1162"/>
      <c r="E72" s="1829"/>
      <c r="F72" s="2583"/>
      <c r="G72" s="2584"/>
      <c r="H72" s="2585" t="s">
        <v>68</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68</v>
      </c>
      <c r="Z72" s="1810"/>
      <c r="AA72" s="1794">
        <v>1</v>
      </c>
      <c r="AB72" s="1244"/>
      <c r="AD72" s="1638" t="s">
        <v>1941</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1942</v>
      </c>
    </row>
    <row r="75" s="1817" customFormat="1" customHeight="1" ht="11.25">
      <c r="A75" s="1817" t="s">
        <v>1943</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1941</v>
      </c>
    </row>
    <row r="79" s="1817" customFormat="1" customHeight="1" ht="11.25">
      <c r="A79" s="1817" t="s">
        <v>1944</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385</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1945</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1946</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28</v>
      </c>
      <c r="R91" s="2515" t="s">
        <v>28</v>
      </c>
      <c r="S91" s="2515" t="s">
        <v>28</v>
      </c>
      <c r="T91" s="2515" t="s">
        <v>28</v>
      </c>
      <c r="U91" s="2515" t="s">
        <v>28</v>
      </c>
      <c r="V91" s="2515" t="s">
        <v>28</v>
      </c>
      <c r="W91" s="2515" t="s">
        <v>28</v>
      </c>
      <c r="X91" s="2515" t="s">
        <v>28</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1947</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1948</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1949</v>
      </c>
    </row>
    <row r="101" s="1637" customFormat="1" customHeight="1" ht="11.25">
      <c r="A101" s="1168"/>
      <c r="B101" s="1168"/>
      <c r="C101" s="1168"/>
      <c r="D101" s="1162"/>
      <c r="E101" s="1172"/>
      <c r="F101" s="1831"/>
      <c r="G101" s="1832"/>
      <c r="H101" s="2517" t="s">
        <v>111</v>
      </c>
      <c r="I101" s="2518"/>
      <c r="J101" s="2487"/>
      <c r="K101" s="2519"/>
      <c r="L101" s="2109" t="s">
        <v>19</v>
      </c>
      <c r="M101" s="2110"/>
      <c r="N101" s="1988"/>
      <c r="O101" s="1179" t="s">
        <v>385</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28</v>
      </c>
      <c r="R102" s="2515" t="s">
        <v>28</v>
      </c>
      <c r="S102" s="2515" t="s">
        <v>28</v>
      </c>
      <c r="T102" s="2515" t="s">
        <v>28</v>
      </c>
      <c r="U102" s="2515" t="s">
        <v>28</v>
      </c>
      <c r="V102" s="2515" t="s">
        <v>28</v>
      </c>
      <c r="W102" s="2515" t="s">
        <v>28</v>
      </c>
      <c r="X102" s="2515" t="s">
        <v>28</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1947</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1950</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1951</v>
      </c>
    </row>
    <row customHeight="1" ht="17.25"/>
    <row s="927" customFormat="1" customHeight="1" ht="21">
      <c r="A109" s="1169"/>
      <c r="B109" s="942"/>
      <c r="D109" s="926"/>
      <c r="E109" s="941" t="s">
        <v>28</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1952</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1953</v>
      </c>
    </row>
    <row r="115" s="1852" customFormat="1" customHeight="1" ht="15">
      <c r="A115" s="625"/>
      <c r="B115" s="626"/>
      <c r="C115" s="626"/>
      <c r="D115" s="2580" t="s">
        <v>111</v>
      </c>
      <c r="E115" s="2379" t="s">
        <v>107</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28</v>
      </c>
      <c r="AF115" s="632"/>
      <c r="AG115" s="633" t="s">
        <v>617</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572</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573</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618</v>
      </c>
      <c r="F118" s="2378"/>
      <c r="G118" s="2378"/>
      <c r="H118" s="2378"/>
      <c r="I118" s="2378"/>
      <c r="J118" s="2378"/>
      <c r="K118" s="2378"/>
      <c r="L118" s="2378"/>
      <c r="M118" s="2378"/>
      <c r="N118" s="2378"/>
      <c r="O118" s="2378"/>
      <c r="P118" s="2378"/>
      <c r="Q118" s="560">
        <f>SUMIF(T119:T120,"i",Q119:Q120)</f>
        <v>0</v>
      </c>
      <c r="R118" s="1019"/>
      <c r="S118" s="1800" t="s">
        <v>619</v>
      </c>
      <c r="T118" s="719" t="s">
        <v>620</v>
      </c>
      <c r="U118" s="2376">
        <v>1</v>
      </c>
      <c r="V118" s="2376" t="s">
        <v>583</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28</v>
      </c>
      <c r="F120" s="1170" t="s">
        <v>28</v>
      </c>
      <c r="G120" s="1170" t="s">
        <v>1954</v>
      </c>
      <c r="H120" s="653" t="s">
        <v>28</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621</v>
      </c>
      <c r="F121" s="2378"/>
      <c r="G121" s="2378"/>
      <c r="H121" s="2378"/>
      <c r="I121" s="2378"/>
      <c r="J121" s="2378"/>
      <c r="K121" s="2378"/>
      <c r="L121" s="2378"/>
      <c r="M121" s="2378"/>
      <c r="N121" s="2378"/>
      <c r="O121" s="2378"/>
      <c r="P121" s="2378"/>
      <c r="Q121" s="560">
        <f>SUMIF(T122:T123,"i",Q122:Q123)</f>
        <v>0</v>
      </c>
      <c r="R121" s="1019"/>
      <c r="S121" s="1800" t="s">
        <v>622</v>
      </c>
      <c r="T121" s="719" t="s">
        <v>620</v>
      </c>
      <c r="U121" s="2376">
        <v>1</v>
      </c>
      <c r="V121" s="2376" t="s">
        <v>583</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28</v>
      </c>
      <c r="F123" s="1170" t="s">
        <v>28</v>
      </c>
      <c r="G123" s="1170" t="s">
        <v>1954</v>
      </c>
      <c r="H123" s="653" t="s">
        <v>28</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1955</v>
      </c>
    </row>
    <row r="127" s="1852" customFormat="1" customHeight="1" ht="15">
      <c r="A127" s="625"/>
      <c r="B127" s="626"/>
      <c r="C127" s="626"/>
      <c r="D127" s="2580" t="s">
        <v>111</v>
      </c>
      <c r="E127" s="2379" t="s">
        <v>107</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28</v>
      </c>
      <c r="AF127" s="632"/>
      <c r="AG127" s="633" t="s">
        <v>617</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572</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573</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618</v>
      </c>
      <c r="F130" s="2378"/>
      <c r="G130" s="2378"/>
      <c r="H130" s="2378"/>
      <c r="I130" s="2378"/>
      <c r="J130" s="2378"/>
      <c r="K130" s="2378"/>
      <c r="L130" s="2378"/>
      <c r="M130" s="2378"/>
      <c r="N130" s="2378"/>
      <c r="O130" s="2378"/>
      <c r="P130" s="2378"/>
      <c r="Q130" s="560">
        <f>SUMIF(T131:T132,"i",Q131:Q132)</f>
        <v>0</v>
      </c>
      <c r="R130" s="1019"/>
      <c r="S130" s="1800" t="s">
        <v>619</v>
      </c>
      <c r="T130" s="719" t="s">
        <v>620</v>
      </c>
      <c r="U130" s="2376">
        <v>1</v>
      </c>
      <c r="V130" s="2376" t="s">
        <v>583</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28</v>
      </c>
      <c r="F132" s="1170" t="s">
        <v>28</v>
      </c>
      <c r="G132" s="1170" t="s">
        <v>1954</v>
      </c>
      <c r="H132" s="653" t="s">
        <v>28</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620</v>
      </c>
      <c r="U133" s="2376">
        <v>1</v>
      </c>
      <c r="V133" s="2376" t="s">
        <v>583</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1956</v>
      </c>
    </row>
    <row r="139" s="1852" customFormat="1" customHeight="1" ht="45">
      <c r="A139" s="1808"/>
      <c r="B139" s="1162"/>
      <c r="C139" s="414"/>
      <c r="D139" s="91"/>
      <c r="E139" s="2574"/>
      <c r="F139" s="2110" t="s">
        <v>111</v>
      </c>
      <c r="G139" s="2577" t="s">
        <v>28</v>
      </c>
      <c r="H139" s="291"/>
      <c r="I139" s="639" t="s">
        <v>111</v>
      </c>
      <c r="J139" s="1809" t="s">
        <v>1957</v>
      </c>
      <c r="K139" s="640" t="s">
        <v>554</v>
      </c>
      <c r="L139" s="2226" t="s">
        <v>554</v>
      </c>
      <c r="M139" s="2579"/>
      <c r="N139" s="640" t="s">
        <v>554</v>
      </c>
      <c r="O139" s="640" t="s">
        <v>554</v>
      </c>
      <c r="P139" s="640" t="s">
        <v>554</v>
      </c>
      <c r="Q139" s="641">
        <f>SUM(Q140:Q142)</f>
        <v>0</v>
      </c>
      <c r="R139" s="641">
        <f>IF(R136=0,0,(Q136/R136)*100)</f>
        <v>0</v>
      </c>
      <c r="S139" s="2181"/>
      <c r="T139" s="719" t="s">
        <v>620</v>
      </c>
      <c r="U139" s="91"/>
      <c r="V139" s="91"/>
      <c r="AC139" s="91"/>
    </row>
    <row s="1852" customFormat="1" customHeight="1" ht="11.25">
      <c r="A140" s="1808"/>
      <c r="B140" s="1162"/>
      <c r="C140" s="414"/>
      <c r="D140" s="91"/>
      <c r="E140" s="2575"/>
      <c r="F140" s="2110"/>
      <c r="G140" s="2577"/>
      <c r="H140" s="2129"/>
      <c r="I140" s="2517" t="s">
        <v>1029</v>
      </c>
      <c r="J140" s="2571"/>
      <c r="K140" s="2572"/>
      <c r="L140" s="642"/>
      <c r="M140" s="643" t="s">
        <v>111</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1958</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28</v>
      </c>
      <c r="I142" s="648"/>
      <c r="J142" s="649" t="s">
        <v>1959</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1029</v>
      </c>
      <c r="J147" s="2571"/>
      <c r="K147" s="2572"/>
      <c r="L147" s="642"/>
      <c r="M147" s="643" t="s">
        <v>111</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1958</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111</v>
      </c>
      <c r="N150" s="1797"/>
      <c r="O150" s="644"/>
      <c r="P150" s="645"/>
      <c r="Q150" s="644"/>
      <c r="R150" s="646">
        <v>0</v>
      </c>
      <c r="S150" s="91"/>
      <c r="T150" s="719"/>
      <c r="U150" s="91"/>
      <c r="V150" s="91"/>
      <c r="AC150" s="91"/>
    </row>
    <row r="152" s="1817" customFormat="1" customHeight="1" ht="17.25">
      <c r="A152" s="1817" t="s">
        <v>1960</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68</v>
      </c>
      <c r="L154" s="2110"/>
      <c r="M154" s="2110" t="s">
        <v>111</v>
      </c>
      <c r="N154" s="2506" t="str">
        <f>IF(Z154="","",INDEX(TERRITORY_MR_LIST,MATCH(Z154,TERRITORY_LIST_ID,0)))</f>
        <v/>
      </c>
      <c r="O154" s="2187" t="s">
        <v>68</v>
      </c>
      <c r="P154" s="2110"/>
      <c r="Q154" s="2110" t="s">
        <v>111</v>
      </c>
      <c r="R154" s="2504" t="s">
        <v>28</v>
      </c>
      <c r="S154" s="2109" t="s">
        <v>68</v>
      </c>
      <c r="T154" s="1813"/>
      <c r="U154" s="1813" t="s">
        <v>111</v>
      </c>
      <c r="V154" s="1845" t="s">
        <v>28</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172</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173</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174</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175</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68</v>
      </c>
      <c r="L160" s="2110"/>
      <c r="M160" s="2110" t="s">
        <v>111</v>
      </c>
      <c r="N160" s="2506" t="str">
        <f>IF(Z160="","",INDEX(TERRITORY_MR_LIST,MATCH(Z160,TERRITORY_LIST_ID,0)))</f>
        <v/>
      </c>
      <c r="O160" s="2187" t="s">
        <v>68</v>
      </c>
      <c r="P160" s="2110"/>
      <c r="Q160" s="2110" t="s">
        <v>111</v>
      </c>
      <c r="R160" s="2504" t="s">
        <v>28</v>
      </c>
      <c r="S160" s="2109" t="s">
        <v>68</v>
      </c>
      <c r="T160" s="1813"/>
      <c r="U160" s="1813" t="s">
        <v>111</v>
      </c>
      <c r="V160" s="1845" t="s">
        <v>28</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172</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173</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174</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111</v>
      </c>
      <c r="N165" s="2506" t="str">
        <f>IF(Z165="","",INDEX(TERRITORY_MR_LIST,MATCH(Z165,TERRITORY_LIST_ID,0)))</f>
        <v/>
      </c>
      <c r="O165" s="2187" t="s">
        <v>68</v>
      </c>
      <c r="P165" s="2110"/>
      <c r="Q165" s="2110" t="s">
        <v>111</v>
      </c>
      <c r="R165" s="2504" t="s">
        <v>28</v>
      </c>
      <c r="S165" s="2109" t="s">
        <v>68</v>
      </c>
      <c r="T165" s="1813"/>
      <c r="U165" s="1813" t="s">
        <v>111</v>
      </c>
      <c r="V165" s="1845" t="s">
        <v>28</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172</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173</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111</v>
      </c>
      <c r="R169" s="2504" t="s">
        <v>28</v>
      </c>
      <c r="S169" s="2109" t="s">
        <v>68</v>
      </c>
      <c r="T169" s="1813"/>
      <c r="U169" s="1813" t="s">
        <v>111</v>
      </c>
      <c r="V169" s="1845" t="s">
        <v>28</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172</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111</v>
      </c>
      <c r="V172" s="1845" t="s">
        <v>28</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1961</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68</v>
      </c>
      <c r="L176" s="2110"/>
      <c r="M176" s="2110" t="s">
        <v>111</v>
      </c>
      <c r="N176" s="2506" t="str">
        <f>IF(Z176="","",INDEX(TERRITORY_MR_LIST,MATCH(Z176,TERRITORY_LIST_ID,0)))</f>
        <v/>
      </c>
      <c r="O176" s="2187" t="s">
        <v>68</v>
      </c>
      <c r="P176" s="2110"/>
      <c r="Q176" s="2110" t="s">
        <v>111</v>
      </c>
      <c r="R176" s="2504" t="s">
        <v>28</v>
      </c>
      <c r="S176" s="2408" t="s">
        <v>19</v>
      </c>
      <c r="T176" s="1804"/>
      <c r="U176" s="1804" t="s">
        <v>111</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173</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174</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175</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68</v>
      </c>
      <c r="L182" s="2110"/>
      <c r="M182" s="2110" t="s">
        <v>111</v>
      </c>
      <c r="N182" s="2506" t="str">
        <f>IF(Z182="","",INDEX(TERRITORY_MR_LIST,MATCH(Z182,TERRITORY_LIST_ID,0)))</f>
        <v/>
      </c>
      <c r="O182" s="2187" t="s">
        <v>68</v>
      </c>
      <c r="P182" s="2110"/>
      <c r="Q182" s="2110" t="s">
        <v>111</v>
      </c>
      <c r="R182" s="2504" t="s">
        <v>28</v>
      </c>
      <c r="S182" s="2408" t="s">
        <v>19</v>
      </c>
      <c r="T182" s="1804"/>
      <c r="U182" s="1804" t="s">
        <v>111</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173</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174</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111</v>
      </c>
      <c r="N187" s="2506" t="str">
        <f>IF(Z187="","",INDEX(TERRITORY_MR_LIST,MATCH(Z187,TERRITORY_LIST_ID,0)))</f>
        <v/>
      </c>
      <c r="O187" s="2187" t="s">
        <v>68</v>
      </c>
      <c r="P187" s="2110"/>
      <c r="Q187" s="2110" t="s">
        <v>111</v>
      </c>
      <c r="R187" s="2504" t="s">
        <v>28</v>
      </c>
      <c r="S187" s="2408" t="s">
        <v>19</v>
      </c>
      <c r="T187" s="1804"/>
      <c r="U187" s="1804" t="s">
        <v>111</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173</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111</v>
      </c>
      <c r="R191" s="2504" t="s">
        <v>28</v>
      </c>
      <c r="S191" s="2408" t="s">
        <v>19</v>
      </c>
      <c r="T191" s="1804"/>
      <c r="U191" s="1804" t="s">
        <v>111</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1962</v>
      </c>
    </row>
    <row customHeight="1" ht="17.25">
      <c r="G201" s="1841"/>
      <c r="H201" s="1841"/>
      <c r="I201" s="1841"/>
      <c r="M201" s="1837"/>
    </row>
    <row s="1852" customFormat="1" customHeight="1" ht="15">
      <c r="D202" s="2525"/>
      <c r="E202" s="2201"/>
      <c r="F202" s="2201"/>
      <c r="G202" s="2187"/>
      <c r="H202" s="1566"/>
      <c r="I202" s="2529">
        <v>1</v>
      </c>
      <c r="J202" s="2503"/>
      <c r="K202" s="1581"/>
      <c r="L202" s="2187" t="s">
        <v>68</v>
      </c>
      <c r="M202" s="2187" t="s">
        <v>68</v>
      </c>
      <c r="N202" s="1566"/>
      <c r="O202" s="2110" t="s">
        <v>111</v>
      </c>
      <c r="P202" s="2519"/>
      <c r="Q202" s="1582"/>
      <c r="R202" s="2187" t="s">
        <v>68</v>
      </c>
      <c r="S202" s="2187" t="s">
        <v>68</v>
      </c>
      <c r="T202" s="1857"/>
      <c r="U202" s="2110" t="s">
        <v>111</v>
      </c>
      <c r="V202" s="2526" t="str">
        <f>IF(AK202="","",INDEX(TERRITORY_MR_LIST,MATCH(AK202,TERRITORY_LIST_ID,0)))</f>
        <v/>
      </c>
      <c r="W202" s="1583"/>
      <c r="X202" s="2187" t="s">
        <v>68</v>
      </c>
      <c r="Y202" s="2187" t="s">
        <v>19</v>
      </c>
      <c r="Z202" s="1566"/>
      <c r="AA202" s="2110" t="s">
        <v>111</v>
      </c>
      <c r="AB202" s="2528"/>
      <c r="AC202" s="1584"/>
      <c r="AD202" s="2187" t="s">
        <v>68</v>
      </c>
      <c r="AE202" s="2187" t="s">
        <v>19</v>
      </c>
      <c r="AF202" s="1564"/>
      <c r="AG202" s="1813" t="s">
        <v>111</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1963</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1964</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105</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1965</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175</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BC8BC4-B2FF-0BA5-D261-0.BEDF8635}"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1966</v>
      </c>
      <c r="B1" s="848"/>
      <c r="C1" s="984" t="s">
        <v>1967</v>
      </c>
      <c r="D1" s="982" t="s">
        <v>815</v>
      </c>
      <c r="E1" s="982" t="s">
        <v>861</v>
      </c>
      <c r="F1" s="982" t="s">
        <v>914</v>
      </c>
      <c r="G1" s="982" t="s">
        <v>901</v>
      </c>
      <c r="H1" s="982" t="s">
        <v>1640</v>
      </c>
    </row>
    <row customHeight="1" ht="9">
      <c r="A2" s="985" t="s">
        <v>1968</v>
      </c>
      <c r="B2" s="985"/>
      <c r="C2" s="986" t="str">
        <f>INDEX(TEMPLATE_NUMBER_FORM_LIST,MATCH(TEMPLATE_SPHERE,TEMPLATE_SPHERE_LIST,0))</f>
        <v>16</v>
      </c>
      <c r="D2" s="985" t="s">
        <v>1490</v>
      </c>
      <c r="E2" s="985" t="s">
        <v>151</v>
      </c>
      <c r="F2" s="987" t="s">
        <v>151</v>
      </c>
      <c r="G2" s="985" t="s">
        <v>151</v>
      </c>
      <c r="H2" s="988"/>
    </row>
    <row customHeight="1" ht="63">
      <c r="A3" s="848"/>
      <c r="B3" s="848" t="s">
        <v>111</v>
      </c>
      <c r="C3" s="986"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6" t="s">
        <v>1969</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7"/>
      <c r="G3" s="988"/>
      <c r="H3" s="848"/>
    </row>
    <row customHeight="1" ht="243">
      <c r="A4" s="848" t="s">
        <v>1970</v>
      </c>
      <c r="B4" s="848" t="s">
        <v>112</v>
      </c>
      <c r="C4" s="986"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5" t="s">
        <v>1971</v>
      </c>
      <c r="E4" s="986"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5"/>
      <c r="G4" s="985"/>
      <c r="H4" s="848" t="s">
        <v>1972</v>
      </c>
    </row>
    <row customHeight="1" ht="117">
      <c r="A5" s="848" t="s">
        <v>1973</v>
      </c>
      <c r="B5" s="848" t="s">
        <v>92</v>
      </c>
      <c r="C5" s="986"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8" t="s">
        <v>1974</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8"/>
      <c r="G5" s="988"/>
      <c r="H5" s="848" t="s">
        <v>1975</v>
      </c>
    </row>
    <row customHeight="1" ht="90">
      <c r="A6" s="848" t="s">
        <v>1976</v>
      </c>
      <c r="B6" s="848" t="s">
        <v>93</v>
      </c>
      <c r="C6" s="986"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8"/>
      <c r="G6" s="848"/>
      <c r="H6" s="988"/>
    </row>
    <row customHeight="1" ht="45">
      <c r="A7" s="848" t="s">
        <v>1977</v>
      </c>
      <c r="B7" s="848" t="s">
        <v>113</v>
      </c>
      <c r="C7" s="986" t="str">
        <f>IF(TEMPLATE_SPHERE="HEAT",D7,E7)</f>
        <v>Форма 11. Информация о расходах на капитальный и текущий ремонт основных средств</v>
      </c>
      <c r="D7" s="848" t="s">
        <v>1978</v>
      </c>
      <c r="E7" s="848" t="s">
        <v>1979</v>
      </c>
      <c r="F7" s="988"/>
      <c r="G7" s="988"/>
      <c r="H7" s="988"/>
    </row>
    <row customHeight="1" ht="108">
      <c r="A8" s="848" t="s">
        <v>1980</v>
      </c>
      <c r="B8" s="848" t="s">
        <v>94</v>
      </c>
      <c r="C8" s="986"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8" t="s">
        <v>1181</v>
      </c>
      <c r="E8" s="848" t="s">
        <v>1981</v>
      </c>
      <c r="F8" s="988"/>
      <c r="G8" s="988"/>
      <c r="H8" s="988"/>
    </row>
    <row customHeight="1" ht="99">
      <c r="A9" s="848" t="s">
        <v>1982</v>
      </c>
      <c r="B9" s="848"/>
      <c r="C9" s="848" t="s">
        <v>1983</v>
      </c>
      <c r="D9" s="848"/>
      <c r="E9" s="848"/>
      <c r="F9" s="988"/>
      <c r="G9" s="988"/>
      <c r="H9" s="988"/>
    </row>
    <row customHeight="1" ht="126">
      <c r="A10" s="848" t="s">
        <v>1984</v>
      </c>
      <c r="B10" s="848"/>
      <c r="C10" s="848" t="s">
        <v>1985</v>
      </c>
      <c r="D10" s="848"/>
      <c r="E10" s="848"/>
      <c r="F10" s="988"/>
      <c r="G10" s="988"/>
      <c r="H10" s="988"/>
    </row>
    <row customHeight="1" ht="108">
      <c r="A11" s="848" t="s">
        <v>1986</v>
      </c>
      <c r="B11" s="848"/>
      <c r="C11" s="848" t="s">
        <v>1987</v>
      </c>
      <c r="D11" s="848"/>
      <c r="E11" s="848"/>
      <c r="F11" s="988"/>
      <c r="G11" s="988"/>
      <c r="H11" s="988"/>
    </row>
    <row customHeight="1" ht="54">
      <c r="A12" s="848" t="s">
        <v>1988</v>
      </c>
      <c r="B12" s="848"/>
      <c r="C12" s="848" t="s">
        <v>1989</v>
      </c>
      <c r="D12" s="848"/>
      <c r="E12" s="848"/>
      <c r="F12" s="988"/>
      <c r="G12" s="988"/>
      <c r="H12" s="988"/>
    </row>
    <row customHeight="1" ht="45">
      <c r="A13" s="848" t="s">
        <v>1990</v>
      </c>
      <c r="B13" s="848"/>
      <c r="C13" s="848" t="s">
        <v>1991</v>
      </c>
      <c r="D13" s="848"/>
      <c r="E13" s="848"/>
      <c r="F13" s="988"/>
      <c r="G13" s="988"/>
      <c r="H13" s="988"/>
    </row>
    <row customHeight="1" ht="117">
      <c r="A14" s="848" t="s">
        <v>1992</v>
      </c>
      <c r="B14" s="848"/>
      <c r="C14" s="848" t="s">
        <v>1993</v>
      </c>
      <c r="D14" s="848"/>
      <c r="E14" s="848"/>
      <c r="F14" s="988"/>
      <c r="G14" s="988"/>
      <c r="H14" s="988"/>
    </row>
    <row customHeight="1" ht="117">
      <c r="A15" s="848" t="s">
        <v>1994</v>
      </c>
      <c r="B15" s="848"/>
      <c r="C15" s="848" t="s">
        <v>1995</v>
      </c>
      <c r="D15" s="848"/>
      <c r="E15" s="848"/>
      <c r="F15" s="988"/>
      <c r="G15" s="988"/>
      <c r="H15" s="988"/>
    </row>
    <row customHeight="1" ht="63">
      <c r="A16" s="848" t="s">
        <v>1996</v>
      </c>
      <c r="B16" s="848"/>
      <c r="C16" s="848" t="s">
        <v>1997</v>
      </c>
      <c r="D16" s="848"/>
      <c r="E16" s="848"/>
      <c r="F16" s="988"/>
      <c r="G16" s="988"/>
      <c r="H16" s="988"/>
    </row>
    <row customHeight="1" ht="54">
      <c r="A17" s="848" t="s">
        <v>1998</v>
      </c>
      <c r="B17" s="848"/>
      <c r="C17" s="986" t="s">
        <v>1999</v>
      </c>
      <c r="D17" s="848"/>
      <c r="E17" s="848"/>
      <c r="F17" s="988"/>
      <c r="G17" s="988"/>
      <c r="H17" s="988"/>
    </row>
    <row customHeight="1" ht="27">
      <c r="A18" s="848" t="s">
        <v>2000</v>
      </c>
      <c r="B18" s="848"/>
      <c r="C18" s="986" t="s">
        <v>2001</v>
      </c>
      <c r="D18" s="848"/>
      <c r="E18" s="848"/>
      <c r="F18" s="988"/>
      <c r="G18" s="988"/>
      <c r="H18" s="988"/>
    </row>
    <row customHeight="1" ht="54">
      <c r="A19" s="848" t="s">
        <v>2002</v>
      </c>
      <c r="B19" s="848"/>
      <c r="C19" s="986" t="s">
        <v>2003</v>
      </c>
      <c r="D19" s="848"/>
      <c r="E19" s="848"/>
      <c r="F19" s="988"/>
      <c r="G19" s="988"/>
      <c r="H19" s="988"/>
    </row>
    <row customHeight="1" ht="36">
      <c r="A20" s="848" t="s">
        <v>2004</v>
      </c>
      <c r="B20" s="848"/>
      <c r="C20" s="986" t="s">
        <v>2005</v>
      </c>
      <c r="D20" s="848"/>
      <c r="E20" s="848"/>
      <c r="F20" s="988"/>
      <c r="G20" s="988"/>
      <c r="H20" s="988"/>
    </row>
    <row customHeight="1" ht="36">
      <c r="A21" s="848" t="s">
        <v>2006</v>
      </c>
      <c r="B21" s="848"/>
      <c r="C21" s="986" t="s">
        <v>2007</v>
      </c>
      <c r="D21" s="848"/>
      <c r="E21" s="848"/>
      <c r="F21" s="988"/>
      <c r="G21" s="988"/>
      <c r="H21" s="988"/>
    </row>
    <row customHeight="1" ht="27">
      <c r="A22" s="848" t="s">
        <v>2008</v>
      </c>
      <c r="B22" s="848"/>
      <c r="C22" s="986" t="s">
        <v>2009</v>
      </c>
      <c r="D22" s="848"/>
      <c r="E22" s="848"/>
      <c r="F22" s="988"/>
      <c r="G22" s="988"/>
      <c r="H22" s="988"/>
    </row>
    <row customHeight="1" ht="36">
      <c r="A23" s="848" t="s">
        <v>2010</v>
      </c>
      <c r="B23" s="848"/>
      <c r="C23" s="986" t="s">
        <v>2011</v>
      </c>
      <c r="D23" s="848"/>
      <c r="E23" s="848"/>
      <c r="F23" s="988"/>
      <c r="G23" s="988"/>
      <c r="H23" s="988"/>
    </row>
    <row customHeight="1" ht="28.5">
      <c r="A24" s="848" t="s">
        <v>2012</v>
      </c>
      <c r="B24" s="848"/>
      <c r="C24" s="986" t="s">
        <v>2013</v>
      </c>
      <c r="D24" s="848"/>
      <c r="E24" s="848"/>
      <c r="F24" s="988"/>
      <c r="G24" s="988"/>
      <c r="H24" s="988"/>
    </row>
    <row customHeight="1" ht="36">
      <c r="A25" s="848" t="s">
        <v>2014</v>
      </c>
      <c r="B25" s="848"/>
      <c r="C25" s="986" t="s">
        <v>2015</v>
      </c>
      <c r="D25" s="848"/>
      <c r="E25" s="848"/>
      <c r="F25" s="988"/>
      <c r="G25" s="988"/>
      <c r="H25" s="988"/>
    </row>
    <row customHeight="1" ht="27">
      <c r="A26" s="848" t="s">
        <v>2016</v>
      </c>
      <c r="B26" s="848"/>
      <c r="C26" s="986" t="s">
        <v>2017</v>
      </c>
      <c r="D26" s="848"/>
      <c r="E26" s="848"/>
      <c r="F26" s="988"/>
      <c r="G26" s="988"/>
      <c r="H26" s="988"/>
    </row>
    <row customHeight="1" ht="36">
      <c r="A27" s="848" t="s">
        <v>2018</v>
      </c>
      <c r="B27" s="848"/>
      <c r="C27" s="986" t="s">
        <v>2019</v>
      </c>
      <c r="D27" s="848"/>
      <c r="E27" s="848"/>
      <c r="F27" s="988"/>
      <c r="G27" s="988"/>
      <c r="H27" s="988"/>
    </row>
    <row customHeight="1" ht="28.5">
      <c r="A28" s="848" t="s">
        <v>2020</v>
      </c>
      <c r="B28" s="848"/>
      <c r="C28" s="986" t="s">
        <v>2021</v>
      </c>
      <c r="D28" s="848"/>
      <c r="E28" s="848"/>
      <c r="F28" s="988"/>
      <c r="G28" s="988"/>
      <c r="H28" s="988"/>
    </row>
    <row customHeight="1" ht="126">
      <c r="A29" s="848" t="s">
        <v>2022</v>
      </c>
      <c r="B29" s="848" t="s">
        <v>1591</v>
      </c>
      <c r="C29" s="986"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8" t="s">
        <v>2023</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8"/>
      <c r="G29" s="988"/>
      <c r="H29" s="848" t="s">
        <v>2024</v>
      </c>
    </row>
    <row customHeight="1" ht="36">
      <c r="A30" s="848" t="s">
        <v>2025</v>
      </c>
      <c r="B30" s="848"/>
      <c r="C30" s="986"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8" t="s">
        <v>2026</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8"/>
      <c r="G30" s="988"/>
      <c r="H30" s="988"/>
    </row>
    <row customHeight="1" ht="54">
      <c r="A31" s="848" t="s">
        <v>2027</v>
      </c>
      <c r="B31" s="848"/>
      <c r="C31" s="986"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8" t="s">
        <v>2028</v>
      </c>
      <c r="E31" s="851"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8"/>
      <c r="G31" s="988"/>
      <c r="H31" s="988"/>
    </row>
    <row customHeight="1" ht="198">
      <c r="A32" s="848" t="s">
        <v>2029</v>
      </c>
      <c r="B32" s="848"/>
      <c r="C32" s="986"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8" t="s">
        <v>2030</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8"/>
      <c r="G32" s="988"/>
      <c r="H32" s="848" t="s">
        <v>2031</v>
      </c>
    </row>
    <row customHeight="1" ht="9">
      <c r="A33" s="848"/>
      <c r="B33" s="848"/>
      <c r="C33" s="986"/>
      <c r="D33" s="848"/>
      <c r="E33" s="848"/>
      <c r="F33" s="988"/>
      <c r="G33" s="988"/>
      <c r="H33" s="988"/>
    </row>
    <row customHeight="1" ht="9">
      <c r="A34" s="848"/>
      <c r="B34" s="848" t="s">
        <v>1528</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2470C23A-8057-9A18-6055-0.0992814B}"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2032</v>
      </c>
      <c r="D1" s="900"/>
      <c r="E1" s="900"/>
      <c r="F1" s="900"/>
      <c r="G1" s="900"/>
      <c r="H1" s="900" t="s">
        <v>2033</v>
      </c>
      <c r="I1" s="900"/>
      <c r="J1" s="900"/>
      <c r="K1" s="900"/>
      <c r="L1" s="900"/>
      <c r="M1" s="900" t="s">
        <v>2034</v>
      </c>
      <c r="N1" s="900" t="s">
        <v>2035</v>
      </c>
      <c r="O1" s="2594" t="s">
        <v>2036</v>
      </c>
      <c r="P1" s="2594"/>
      <c r="Q1" s="2594"/>
      <c r="R1" s="2594"/>
      <c r="S1" s="2594"/>
      <c r="T1" s="2594" t="s">
        <v>2034</v>
      </c>
      <c r="U1" s="2594"/>
      <c r="V1" s="2594"/>
      <c r="W1" s="2594"/>
      <c r="X1" s="2594"/>
      <c r="Y1" s="1001"/>
      <c r="Z1" s="2594" t="s">
        <v>2037</v>
      </c>
      <c r="AA1" s="2594"/>
      <c r="AB1" s="2594"/>
      <c r="AC1" s="2594"/>
      <c r="AD1" s="2594"/>
    </row>
    <row customHeight="1" ht="18">
      <c r="A2" s="848"/>
      <c r="B2" s="848"/>
      <c r="C2" s="843" t="s">
        <v>815</v>
      </c>
      <c r="D2" s="843" t="s">
        <v>861</v>
      </c>
      <c r="E2" s="843" t="s">
        <v>914</v>
      </c>
      <c r="F2" s="843" t="s">
        <v>901</v>
      </c>
      <c r="G2" s="843" t="s">
        <v>1640</v>
      </c>
      <c r="H2" s="845"/>
      <c r="I2" s="845"/>
      <c r="J2" s="845"/>
      <c r="K2" s="845"/>
      <c r="L2" s="845"/>
      <c r="M2" s="845"/>
      <c r="N2" s="845"/>
      <c r="O2" s="843" t="s">
        <v>815</v>
      </c>
      <c r="P2" s="843" t="s">
        <v>861</v>
      </c>
      <c r="Q2" s="843" t="s">
        <v>901</v>
      </c>
      <c r="R2" s="843" t="s">
        <v>914</v>
      </c>
      <c r="S2" s="843" t="s">
        <v>1640</v>
      </c>
      <c r="T2" s="843" t="s">
        <v>815</v>
      </c>
      <c r="U2" s="843" t="s">
        <v>861</v>
      </c>
      <c r="V2" s="843" t="s">
        <v>901</v>
      </c>
      <c r="W2" s="843" t="s">
        <v>914</v>
      </c>
      <c r="X2" s="843" t="s">
        <v>1640</v>
      </c>
      <c r="Y2" s="843"/>
      <c r="Z2" s="843" t="s">
        <v>815</v>
      </c>
      <c r="AA2" s="852" t="s">
        <v>861</v>
      </c>
      <c r="AB2" s="843" t="s">
        <v>901</v>
      </c>
      <c r="AC2" s="843" t="s">
        <v>914</v>
      </c>
      <c r="AD2" s="843" t="s">
        <v>1640</v>
      </c>
    </row>
    <row customHeight="1" ht="162">
      <c r="A3" s="847" t="s">
        <v>26</v>
      </c>
      <c r="B3" s="847"/>
      <c r="C3" s="2598" t="s">
        <v>2038</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5"/>
      <c r="P3" s="845"/>
      <c r="Q3" s="845"/>
      <c r="R3" s="845"/>
      <c r="S3" s="845"/>
      <c r="T3" s="845"/>
      <c r="U3" s="845"/>
      <c r="V3" s="845"/>
      <c r="W3" s="845"/>
      <c r="X3" s="845"/>
      <c r="Y3" s="1002"/>
      <c r="Z3" s="848" t="s">
        <v>2039</v>
      </c>
      <c r="AA3" s="845" t="s">
        <v>2040</v>
      </c>
      <c r="AB3" s="848" t="s">
        <v>2041</v>
      </c>
      <c r="AC3" s="848" t="s">
        <v>2042</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1579</v>
      </c>
      <c r="D11" s="2601" t="s">
        <v>1575</v>
      </c>
      <c r="E11" s="2601" t="s">
        <v>1673</v>
      </c>
      <c r="F11" s="2601" t="s">
        <v>2043</v>
      </c>
      <c r="G11" s="2601"/>
      <c r="H11" s="900" t="s">
        <v>2044</v>
      </c>
      <c r="I11" s="900"/>
      <c r="J11" s="900"/>
      <c r="K11" s="900"/>
      <c r="L11" s="900"/>
      <c r="M11" s="846" t="str">
        <f>IF(TEMPLATE_SPHERE="HEAT",T11,U11)</f>
        <v>Количество поданных заявок</v>
      </c>
      <c r="N11" s="846"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5"/>
      <c r="P11" s="845"/>
      <c r="Q11" s="845"/>
      <c r="R11" s="845"/>
      <c r="S11" s="845"/>
      <c r="T11" s="845" t="s">
        <v>2045</v>
      </c>
      <c r="U11" s="845" t="s">
        <v>2046</v>
      </c>
      <c r="V11" s="845"/>
      <c r="W11" s="845"/>
      <c r="X11" s="845"/>
      <c r="Y11" s="1002"/>
      <c r="Z11" s="848" t="s">
        <v>2047</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8"/>
      <c r="AC11" s="848"/>
      <c r="AD11" s="848"/>
    </row>
    <row customHeight="1" ht="45">
      <c r="A12" s="2595"/>
      <c r="B12" s="901">
        <v>2</v>
      </c>
      <c r="C12" s="2602"/>
      <c r="D12" s="2602"/>
      <c r="E12" s="2602"/>
      <c r="F12" s="2602"/>
      <c r="G12" s="2602"/>
      <c r="H12" s="900" t="s">
        <v>2048</v>
      </c>
      <c r="I12" s="900"/>
      <c r="J12" s="900"/>
      <c r="K12" s="900"/>
      <c r="L12" s="900"/>
      <c r="M12" s="846" t="str">
        <f>IF(TEMPLATE_SPHERE="HEAT",T12,U12)</f>
        <v>Количество рассмотренных заявок</v>
      </c>
      <c r="N12" s="846"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5"/>
      <c r="P12" s="845"/>
      <c r="Q12" s="845"/>
      <c r="R12" s="845"/>
      <c r="S12" s="845"/>
      <c r="T12" s="845" t="s">
        <v>2049</v>
      </c>
      <c r="U12" s="845" t="s">
        <v>2050</v>
      </c>
      <c r="V12" s="845"/>
      <c r="W12" s="845"/>
      <c r="X12" s="845"/>
      <c r="Y12" s="1002"/>
      <c r="Z12" s="848" t="s">
        <v>2051</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8"/>
      <c r="AC12" s="848"/>
      <c r="AD12" s="848"/>
    </row>
    <row customHeight="1" ht="72">
      <c r="A13" s="2595"/>
      <c r="B13" s="901">
        <v>3</v>
      </c>
      <c r="C13" s="2602"/>
      <c r="D13" s="2602"/>
      <c r="E13" s="2602"/>
      <c r="F13" s="2602"/>
      <c r="G13" s="2602"/>
      <c r="H13" s="2594" t="s">
        <v>2052</v>
      </c>
      <c r="I13" s="900"/>
      <c r="J13" s="900"/>
      <c r="K13" s="900"/>
      <c r="L13" s="900"/>
      <c r="M13" s="846"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6" t="str">
        <f>IF(TEMPLATE_SPHERE="HEAT",Z13,AA13)</f>
        <v>Указывается количество заявок с решением об отказе в течение отчетного квартала.</v>
      </c>
      <c r="O13" s="845"/>
      <c r="P13" s="846"/>
      <c r="Q13" s="846"/>
      <c r="R13" s="846"/>
      <c r="S13" s="845"/>
      <c r="T13" s="845" t="s">
        <v>2053</v>
      </c>
      <c r="U13" s="846" t="s">
        <v>2054</v>
      </c>
      <c r="V13" s="846"/>
      <c r="W13" s="846"/>
      <c r="X13" s="845"/>
      <c r="Y13" s="1002"/>
      <c r="Z13" s="848" t="s">
        <v>2055</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системе теплоснабжения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2056</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6"/>
      <c r="W14" s="846"/>
      <c r="X14" s="845"/>
      <c r="Y14" s="1002"/>
      <c r="Z14" s="848" t="s">
        <v>2057</v>
      </c>
      <c r="AA14" s="851" t="s">
        <v>2057</v>
      </c>
      <c r="AB14" s="848"/>
      <c r="AC14" s="848"/>
      <c r="AD14" s="848"/>
    </row>
    <row customHeight="1" ht="108">
      <c r="A15" s="2595"/>
      <c r="B15" s="901">
        <v>5</v>
      </c>
      <c r="C15" s="2602"/>
      <c r="D15" s="2602"/>
      <c r="E15" s="2602"/>
      <c r="F15" s="2602"/>
      <c r="G15" s="2602"/>
      <c r="H15" s="2596" t="s">
        <v>2058</v>
      </c>
      <c r="I15" s="902"/>
      <c r="J15" s="902"/>
      <c r="K15" s="902"/>
      <c r="L15" s="902"/>
      <c r="M15" s="851" t="str">
        <f>IF(TEMPLATE_SPHERE="HEAT",T15,U15)</f>
        <v>Резерв мощности источников тепловой энергии, входящих в систему теплоснабжения, в течение одного квартала, в том числе:</v>
      </c>
      <c r="N15" s="850"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5"/>
      <c r="P15" s="846"/>
      <c r="Q15" s="846"/>
      <c r="R15" s="846"/>
      <c r="S15" s="845"/>
      <c r="T15" s="845" t="s">
        <v>2059</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6"/>
      <c r="W15" s="846"/>
      <c r="X15" s="845"/>
      <c r="Y15" s="1002"/>
      <c r="Z15" s="848" t="s">
        <v>2060</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5"/>
      <c r="P16" s="846"/>
      <c r="Q16" s="846"/>
      <c r="R16" s="846"/>
      <c r="S16" s="845"/>
      <c r="T16" s="845"/>
      <c r="U16" s="846"/>
      <c r="V16" s="846"/>
      <c r="W16" s="846"/>
      <c r="X16" s="845"/>
      <c r="Y16" s="1002"/>
      <c r="Z16" s="848" t="s">
        <v>2060</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1676</v>
      </c>
      <c r="B18" s="901">
        <v>1</v>
      </c>
      <c r="C18" s="845" t="s">
        <v>2044</v>
      </c>
      <c r="D18" s="969" t="s">
        <v>2044</v>
      </c>
      <c r="E18" s="845" t="s">
        <v>2044</v>
      </c>
      <c r="F18" s="845" t="s">
        <v>2044</v>
      </c>
      <c r="G18" s="845"/>
      <c r="H18" s="1004"/>
      <c r="I18" s="1007">
        <f>INDEX(TEMPLATE_NUMBER_POINT_FHD,B18,MATCH(TEMPLATE_SPHERE,TEMPLATE_SPHERE_LIST_FOR_NOTE,0))</f>
        <v>1</v>
      </c>
      <c r="J18" s="1007" t="str">
        <f>INDEX(TEMPLATE_DATA_POINT_FHD,B18,MATCH(TEMPLATE_SPHERE,TEMPLATE_SPHERE_LIST_FOR_NOTE,0))</f>
        <v>Выручка от регулируемого вида деятельности с распределением по видам деятельности</v>
      </c>
      <c r="K18" s="1007"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6">
        <f>IF(I18=0,"",I18)</f>
        <v>1</v>
      </c>
      <c r="M18" s="846" t="str">
        <f>IF(J18=0,"",J18)</f>
        <v>Выручка от регулируемого вида деятельности с распределением по видам деятельности</v>
      </c>
      <c r="N18" s="846" t="str">
        <f>IF(K18=0,"",K18)</f>
        <v>Указывается выручка от регулируемого вида деятельности с распределением по видам деятельности.</v>
      </c>
      <c r="O18" s="959">
        <v>1</v>
      </c>
      <c r="P18" s="959">
        <v>1</v>
      </c>
      <c r="Q18" s="959">
        <v>1</v>
      </c>
      <c r="R18" s="959">
        <v>1</v>
      </c>
      <c r="S18" s="959"/>
      <c r="T18" s="966" t="s">
        <v>2061</v>
      </c>
      <c r="U18" s="848" t="s">
        <v>2062</v>
      </c>
      <c r="V18" s="848" t="s">
        <v>2063</v>
      </c>
      <c r="W18" s="848" t="s">
        <v>2064</v>
      </c>
      <c r="X18" s="845"/>
      <c r="Y18" s="1002"/>
      <c r="Z18" s="848" t="s">
        <v>2065</v>
      </c>
      <c r="AA18" s="851" t="s">
        <v>2066</v>
      </c>
      <c r="AB18" s="851" t="s">
        <v>2066</v>
      </c>
      <c r="AC18" s="851" t="s">
        <v>2066</v>
      </c>
      <c r="AD18" s="848"/>
    </row>
    <row customHeight="1" ht="36">
      <c r="A19" s="847"/>
      <c r="B19" s="901">
        <v>2</v>
      </c>
      <c r="C19" s="845" t="s">
        <v>2048</v>
      </c>
      <c r="D19" s="969" t="s">
        <v>2048</v>
      </c>
      <c r="E19" s="845" t="s">
        <v>2048</v>
      </c>
      <c r="F19" s="845" t="s">
        <v>2048</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регулируемому виду деятельности, включая:</v>
      </c>
      <c r="N19" s="846" t="str">
        <f>IF(K19=0,"",K19)</f>
        <v>Указывается суммарная себестоимость производимых товаров.</v>
      </c>
      <c r="O19" s="959">
        <v>2</v>
      </c>
      <c r="P19" s="959">
        <v>2</v>
      </c>
      <c r="Q19" s="959">
        <v>2</v>
      </c>
      <c r="R19" s="959">
        <v>2</v>
      </c>
      <c r="S19" s="959"/>
      <c r="T19" s="966" t="s">
        <v>2067</v>
      </c>
      <c r="U19" s="848" t="s">
        <v>2068</v>
      </c>
      <c r="V19" s="848" t="s">
        <v>2069</v>
      </c>
      <c r="W19" s="848" t="s">
        <v>2070</v>
      </c>
      <c r="X19" s="845"/>
      <c r="Y19" s="1002"/>
      <c r="Z19" s="848" t="s">
        <v>2071</v>
      </c>
      <c r="AA19" s="851" t="s">
        <v>2071</v>
      </c>
      <c r="AB19" s="851" t="s">
        <v>2071</v>
      </c>
      <c r="AC19" s="851" t="s">
        <v>2071</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приобретаемую тепловую энергию (мощность), теплоноситель</v>
      </c>
      <c r="K20" s="1007">
        <f>INDEX(TEMPLATE_NOTE_POINT_FHD,B20,MATCH(TEMPLATE_SPHERE,TEMPLATE_SPHERE_LIST_FOR_NOTE,0))</f>
        <v>0</v>
      </c>
      <c r="L20" s="846" t="str">
        <f>IF(I20=0,"",I20)</f>
        <v>2.1</v>
      </c>
      <c r="M20" s="846" t="str">
        <f>IF(J20=0,"",J20)</f>
        <v>Расходы на приобретаемую тепловую энергию (мощность), теплоноситель</v>
      </c>
      <c r="N20" s="846" t="str">
        <f>IF(K20=0,"",K20)</f>
        <v/>
      </c>
      <c r="O20" s="959" t="s">
        <v>716</v>
      </c>
      <c r="P20" s="959" t="s">
        <v>716</v>
      </c>
      <c r="Q20" s="959" t="s">
        <v>716</v>
      </c>
      <c r="R20" s="959" t="s">
        <v>716</v>
      </c>
      <c r="S20" s="959"/>
      <c r="T20" s="966" t="s">
        <v>2072</v>
      </c>
      <c r="U20" s="848" t="s">
        <v>2073</v>
      </c>
      <c r="V20" s="848" t="s">
        <v>2074</v>
      </c>
      <c r="W20" s="848" t="s">
        <v>2075</v>
      </c>
      <c r="X20" s="845"/>
      <c r="Y20" s="1002"/>
      <c r="Z20" s="848"/>
      <c r="AA20" s="851"/>
      <c r="AB20" s="848"/>
      <c r="AC20" s="848"/>
      <c r="AD20" s="848"/>
    </row>
    <row customHeight="1" ht="36">
      <c r="A21" s="847"/>
      <c r="B21" s="901">
        <v>4</v>
      </c>
      <c r="C21" s="845">
        <v>2</v>
      </c>
      <c r="D21" s="969"/>
      <c r="E21" s="845"/>
      <c r="F21" s="845"/>
      <c r="G21" s="845"/>
      <c r="H21" s="1004"/>
      <c r="I21" s="1007" t="str">
        <f>INDEX(TEMPLATE_NUMBER_POINT_FHD,B21,MATCH(TEMPLATE_SPHERE,TEMPLATE_SPHERE_LIST_FOR_NOTE,0))</f>
        <v>2.2</v>
      </c>
      <c r="J21" s="1007"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7" t="str">
        <f>INDEX(TEMPLATE_NOTE_POINT_FHD,B21,MATCH(TEMPLATE_SPHERE,TEMPLATE_SPHERE_LIST_FOR_NOTE,0))</f>
        <v>Указываются суммарные расходы на приобретение топлива всех видов.</v>
      </c>
      <c r="L21" s="846" t="str">
        <f>IF(I21=0,"",I21)</f>
        <v>2.2</v>
      </c>
      <c r="M21" s="846"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6" t="str">
        <f>IF(K21=0,"",K21)</f>
        <v>Указываются суммарные расходы на приобретение топлива всех видов.</v>
      </c>
      <c r="O21" s="959" t="s">
        <v>316</v>
      </c>
      <c r="P21" s="959"/>
      <c r="Q21" s="959"/>
      <c r="R21" s="959"/>
      <c r="S21" s="959"/>
      <c r="T21" s="966" t="s">
        <v>2076</v>
      </c>
      <c r="U21" s="848"/>
      <c r="V21" s="848"/>
      <c r="W21" s="848"/>
      <c r="X21" s="845"/>
      <c r="Y21" s="1002"/>
      <c r="Z21" s="848" t="s">
        <v>2077</v>
      </c>
      <c r="AA21" s="851"/>
      <c r="AB21" s="848"/>
      <c r="AC21" s="848"/>
      <c r="AD21" s="848"/>
    </row>
    <row customHeight="1" ht="36">
      <c r="A22" s="847"/>
      <c r="B22" s="901">
        <v>5</v>
      </c>
      <c r="C22" s="845">
        <v>3</v>
      </c>
      <c r="D22" s="969"/>
      <c r="E22" s="845"/>
      <c r="F22" s="845"/>
      <c r="G22" s="893"/>
      <c r="H22" s="960"/>
      <c r="I22" s="1007">
        <f>INDEX(TEMPLATE_NUMBER_POINT_FHD,B22,MATCH(TEMPLATE_SPHERE,TEMPLATE_SPHERE_LIST_FOR_NOTE,0))</f>
        <v>0</v>
      </c>
      <c r="J22" s="1007">
        <f>INDEX(TEMPLATE_DATA_POINT_FHD,B22,MATCH(TEMPLATE_SPHERE,TEMPLATE_SPHERE_LIST_FOR_NOTE,0))</f>
        <v>0</v>
      </c>
      <c r="K22" s="1007">
        <f>INDEX(TEMPLATE_NOTE_POINT_FHD,B22,MATCH(TEMPLATE_SPHERE,TEMPLATE_SPHERE_LIST_FOR_NOTE,0))</f>
        <v>0</v>
      </c>
      <c r="L22" s="846" t="str">
        <f>IF(I22=0,"",I22)</f>
        <v/>
      </c>
      <c r="M22" s="846" t="str">
        <f>IF(J22=0,"",J22)</f>
        <v/>
      </c>
      <c r="N22" s="846" t="str">
        <f>IF(K22=0,"",K22)</f>
        <v/>
      </c>
      <c r="O22" s="959"/>
      <c r="P22" s="959"/>
      <c r="Q22" s="959" t="s">
        <v>316</v>
      </c>
      <c r="R22" s="959"/>
      <c r="S22" s="959"/>
      <c r="T22" s="966"/>
      <c r="U22" s="848"/>
      <c r="V22" s="848" t="s">
        <v>2078</v>
      </c>
      <c r="W22" s="848"/>
      <c r="X22" s="845"/>
      <c r="Y22" s="1002"/>
      <c r="Z22" s="848"/>
      <c r="AA22" s="851"/>
      <c r="AB22" s="848"/>
      <c r="AC22" s="848"/>
      <c r="AD22" s="848"/>
    </row>
    <row customHeight="1" ht="27">
      <c r="A23" s="847"/>
      <c r="B23" s="901">
        <v>6</v>
      </c>
      <c r="C23" s="845">
        <v>4</v>
      </c>
      <c r="D23" s="969"/>
      <c r="E23" s="845"/>
      <c r="F23" s="845"/>
      <c r="G23" s="893"/>
      <c r="H23" s="960"/>
      <c r="I23" s="1007">
        <f>INDEX(TEMPLATE_NUMBER_POINT_FHD,B23,MATCH(TEMPLATE_SPHERE,TEMPLATE_SPHERE_LIST_FOR_NOTE,0))</f>
        <v>0</v>
      </c>
      <c r="J23" s="1007">
        <f>INDEX(TEMPLATE_DATA_POINT_FHD,B23,MATCH(TEMPLATE_SPHERE,TEMPLATE_SPHERE_LIST_FOR_NOTE,0))</f>
        <v>0</v>
      </c>
      <c r="K23" s="1007">
        <f>INDEX(TEMPLATE_NOTE_POINT_FHD,B23,MATCH(TEMPLATE_SPHERE,TEMPLATE_SPHERE_LIST_FOR_NOTE,0))</f>
        <v>0</v>
      </c>
      <c r="L23" s="846" t="str">
        <f>IF(I23=0,"",I23)</f>
        <v/>
      </c>
      <c r="M23" s="846" t="str">
        <f>IF(J23=0,"",J23)</f>
        <v/>
      </c>
      <c r="N23" s="846" t="str">
        <f>IF(K23=0,"",K23)</f>
        <v/>
      </c>
      <c r="O23" s="959"/>
      <c r="P23" s="959"/>
      <c r="Q23" s="959" t="s">
        <v>319</v>
      </c>
      <c r="R23" s="959"/>
      <c r="S23" s="959"/>
      <c r="T23" s="966"/>
      <c r="U23" s="848"/>
      <c r="V23" s="848" t="s">
        <v>2079</v>
      </c>
      <c r="W23" s="848"/>
      <c r="X23" s="845"/>
      <c r="Y23" s="1002"/>
      <c r="Z23" s="848"/>
      <c r="AA23" s="851"/>
      <c r="AB23" s="848"/>
      <c r="AC23" s="848"/>
      <c r="AD23" s="848"/>
    </row>
    <row customHeight="1" ht="36">
      <c r="A24" s="847"/>
      <c r="B24" s="901">
        <v>7</v>
      </c>
      <c r="C24" s="845">
        <v>5</v>
      </c>
      <c r="D24" s="969"/>
      <c r="E24" s="845"/>
      <c r="F24" s="845"/>
      <c r="G24" s="893"/>
      <c r="H24" s="960"/>
      <c r="I24" s="1007">
        <f>INDEX(TEMPLATE_NUMBER_POINT_FHD,B24,MATCH(TEMPLATE_SPHERE,TEMPLATE_SPHERE_LIST_FOR_NOTE,0))</f>
        <v>0</v>
      </c>
      <c r="J24" s="1007">
        <f>INDEX(TEMPLATE_DATA_POINT_FHD,B24,MATCH(TEMPLATE_SPHERE,TEMPLATE_SPHERE_LIST_FOR_NOTE,0))</f>
        <v>0</v>
      </c>
      <c r="K24" s="1007">
        <f>INDEX(TEMPLATE_NOTE_POINT_FHD,B24,MATCH(TEMPLATE_SPHERE,TEMPLATE_SPHERE_LIST_FOR_NOTE,0))</f>
        <v>0</v>
      </c>
      <c r="L24" s="846" t="str">
        <f>IF(I24=0,"",I24)</f>
        <v/>
      </c>
      <c r="M24" s="846" t="str">
        <f>IF(J24=0,"",J24)</f>
        <v/>
      </c>
      <c r="N24" s="846" t="str">
        <f>IF(K24=0,"",K24)</f>
        <v/>
      </c>
      <c r="O24" s="959"/>
      <c r="P24" s="959"/>
      <c r="Q24" s="959" t="s">
        <v>736</v>
      </c>
      <c r="R24" s="959"/>
      <c r="S24" s="959"/>
      <c r="T24" s="966"/>
      <c r="U24" s="848"/>
      <c r="V24" s="848" t="s">
        <v>2080</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2.3</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2.3</v>
      </c>
      <c r="M25" s="846" t="str">
        <f>IF(J25=0,"",J25)</f>
        <v>Расходы на приобретаемую электрическую энергию (мощность), используемую в технологическом процессе</v>
      </c>
      <c r="N25" s="846" t="str">
        <f>IF(K25=0,"",K25)</f>
        <v/>
      </c>
      <c r="O25" s="959" t="s">
        <v>319</v>
      </c>
      <c r="P25" s="959" t="s">
        <v>316</v>
      </c>
      <c r="Q25" s="959" t="s">
        <v>743</v>
      </c>
      <c r="R25" s="959" t="s">
        <v>316</v>
      </c>
      <c r="S25" s="959"/>
      <c r="T25" s="966" t="s">
        <v>2081</v>
      </c>
      <c r="U25" s="848" t="s">
        <v>2081</v>
      </c>
      <c r="V25" s="848" t="s">
        <v>2081</v>
      </c>
      <c r="W25" s="848" t="s">
        <v>2081</v>
      </c>
      <c r="X25" s="845"/>
      <c r="Y25" s="1002"/>
      <c r="Z25" s="848"/>
      <c r="AA25" s="851"/>
      <c r="AB25" s="848"/>
      <c r="AC25" s="848"/>
      <c r="AD25" s="848"/>
    </row>
    <row customHeight="1" ht="18">
      <c r="A26" s="847"/>
      <c r="B26" s="901">
        <v>9</v>
      </c>
      <c r="C26" s="845" t="s">
        <v>660</v>
      </c>
      <c r="D26" s="969"/>
      <c r="E26" s="845"/>
      <c r="F26" s="845"/>
      <c r="G26" s="893"/>
      <c r="H26" s="960"/>
      <c r="I26" s="1007" t="str">
        <f>INDEX(TEMPLATE_NUMBER_POINT_FHD,B26,MATCH(TEMPLATE_SPHERE,TEMPLATE_SPHERE_LIST_FOR_NOTE,0))</f>
        <v>2.3.1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2.3.1</v>
      </c>
      <c r="M26" s="846" t="str">
        <f>IF(J26=0,"",J26)</f>
        <v>Средневзвешенная стоимость 1 кВт.ч (с учетом мощности)</v>
      </c>
      <c r="N26" s="846" t="str">
        <f>IF(K26=0,"",K26)</f>
        <v/>
      </c>
      <c r="O26" s="959" t="s">
        <v>732</v>
      </c>
      <c r="P26" s="959" t="s">
        <v>726</v>
      </c>
      <c r="Q26" s="959" t="s">
        <v>2082</v>
      </c>
      <c r="R26" s="959" t="s">
        <v>726</v>
      </c>
      <c r="S26" s="959"/>
      <c r="T26" s="966"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6" t="s">
        <v>2083</v>
      </c>
      <c r="V26" s="966" t="s">
        <v>2083</v>
      </c>
      <c r="W26" s="966" t="s">
        <v>2083</v>
      </c>
      <c r="X26" s="845"/>
      <c r="Y26" s="1002"/>
      <c r="Z26" s="848"/>
      <c r="AA26" s="851"/>
      <c r="AB26" s="848"/>
      <c r="AC26" s="848"/>
      <c r="AD26" s="848"/>
    </row>
    <row customHeight="1" ht="18">
      <c r="A27" s="847"/>
      <c r="B27" s="901">
        <v>10</v>
      </c>
      <c r="C27" s="845" t="s">
        <v>664</v>
      </c>
      <c r="D27" s="969"/>
      <c r="E27" s="845"/>
      <c r="F27" s="845"/>
      <c r="G27" s="893"/>
      <c r="H27" s="960"/>
      <c r="I27" s="1007" t="str">
        <f>INDEX(TEMPLATE_NUMBER_POINT_FHD,B27,MATCH(TEMPLATE_SPHERE,TEMPLATE_SPHERE_LIST_FOR_NOTE,0))</f>
        <v>2.3.2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2.3.2</v>
      </c>
      <c r="M27" s="846" t="str">
        <f>IF(J27=0,"",J27)</f>
        <v>Объём приобретения электрической энергии</v>
      </c>
      <c r="N27" s="846" t="str">
        <f>IF(K27=0,"",K27)</f>
        <v/>
      </c>
      <c r="O27" s="959" t="s">
        <v>734</v>
      </c>
      <c r="P27" s="959" t="s">
        <v>728</v>
      </c>
      <c r="Q27" s="959" t="s">
        <v>2084</v>
      </c>
      <c r="R27" s="959" t="s">
        <v>728</v>
      </c>
      <c r="S27" s="959"/>
      <c r="T27" s="966" t="s">
        <v>2085</v>
      </c>
      <c r="U27" s="966" t="s">
        <v>2085</v>
      </c>
      <c r="V27" s="966" t="s">
        <v>2085</v>
      </c>
      <c r="W27" s="966" t="s">
        <v>2085</v>
      </c>
      <c r="X27" s="845"/>
      <c r="Y27" s="1002"/>
      <c r="Z27" s="848"/>
      <c r="AA27" s="851"/>
      <c r="AB27" s="848"/>
      <c r="AC27" s="848"/>
      <c r="AD27" s="848"/>
    </row>
    <row customHeight="1" ht="27">
      <c r="A28" s="847"/>
      <c r="B28" s="901">
        <v>11</v>
      </c>
      <c r="C28" s="845">
        <v>7</v>
      </c>
      <c r="D28" s="969"/>
      <c r="E28" s="845"/>
      <c r="F28" s="845"/>
      <c r="G28" s="893"/>
      <c r="H28" s="960"/>
      <c r="I28" s="1007" t="str">
        <f>INDEX(TEMPLATE_NUMBER_POINT_FHD,B28,MATCH(TEMPLATE_SPHERE,TEMPLATE_SPHERE_LIST_FOR_NOTE,0))</f>
        <v>2.4</v>
      </c>
      <c r="J28" s="1007" t="str">
        <f>INDEX(TEMPLATE_DATA_POINT_FHD,B28,MATCH(TEMPLATE_SPHERE,TEMPLATE_SPHERE_LIST_FOR_NOTE,0))</f>
        <v>Расходы на приобретение холодной воды, используемой в технологическом процессе</v>
      </c>
      <c r="K28" s="1007">
        <f>INDEX(TEMPLATE_NOTE_POINT_FHD,B28,MATCH(TEMPLATE_SPHERE,TEMPLATE_SPHERE_LIST_FOR_NOTE,0))</f>
        <v>0</v>
      </c>
      <c r="L28" s="846" t="str">
        <f>IF(I28=0,"",I28)</f>
        <v>2.4</v>
      </c>
      <c r="M28" s="846" t="str">
        <f>IF(J28=0,"",J28)</f>
        <v>Расходы на приобретение холодной воды, используемой в технологическом процессе</v>
      </c>
      <c r="N28" s="846" t="str">
        <f>IF(K28=0,"",K28)</f>
        <v/>
      </c>
      <c r="O28" s="959" t="s">
        <v>736</v>
      </c>
      <c r="P28" s="959"/>
      <c r="Q28" s="959"/>
      <c r="R28" s="959"/>
      <c r="S28" s="959"/>
      <c r="T28" s="966" t="s">
        <v>2086</v>
      </c>
      <c r="U28" s="848"/>
      <c r="V28" s="848"/>
      <c r="W28" s="848"/>
      <c r="X28" s="845"/>
      <c r="Y28" s="1002"/>
      <c r="Z28" s="848"/>
      <c r="AA28" s="851"/>
      <c r="AB28" s="848"/>
      <c r="AC28" s="848"/>
      <c r="AD28" s="848"/>
    </row>
    <row customHeight="1" ht="27">
      <c r="A29" s="847"/>
      <c r="B29" s="901">
        <v>12</v>
      </c>
      <c r="C29" s="845">
        <v>8</v>
      </c>
      <c r="D29" s="969"/>
      <c r="E29" s="845"/>
      <c r="F29" s="845"/>
      <c r="G29" s="893"/>
      <c r="H29" s="960"/>
      <c r="I29" s="1007" t="str">
        <f>INDEX(TEMPLATE_NUMBER_POINT_FHD,B29,MATCH(TEMPLATE_SPHERE,TEMPLATE_SPHERE_LIST_FOR_NOTE,0))</f>
        <v>2.5</v>
      </c>
      <c r="J29" s="1007" t="str">
        <f>INDEX(TEMPLATE_DATA_POINT_FHD,B29,MATCH(TEMPLATE_SPHERE,TEMPLATE_SPHERE_LIST_FOR_NOTE,0))</f>
        <v>Расходы на  химические реагенты, используемые в технологическом процессе</v>
      </c>
      <c r="K29" s="1007">
        <f>INDEX(TEMPLATE_NOTE_POINT_FHD,B29,MATCH(TEMPLATE_SPHERE,TEMPLATE_SPHERE_LIST_FOR_NOTE,0))</f>
        <v>0</v>
      </c>
      <c r="L29" s="846" t="str">
        <f>IF(I29=0,"",I29)</f>
        <v>2.5</v>
      </c>
      <c r="M29" s="846" t="str">
        <f>IF(J29=0,"",J29)</f>
        <v>Расходы на  химические реагенты, используемые в технологическом процессе</v>
      </c>
      <c r="N29" s="846" t="str">
        <f>IF(K29=0,"",K29)</f>
        <v/>
      </c>
      <c r="O29" s="959" t="s">
        <v>743</v>
      </c>
      <c r="P29" s="959" t="s">
        <v>319</v>
      </c>
      <c r="Q29" s="959"/>
      <c r="R29" s="959" t="s">
        <v>319</v>
      </c>
      <c r="S29" s="959"/>
      <c r="T29" s="966"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8" t="s">
        <v>2087</v>
      </c>
      <c r="V29" s="848"/>
      <c r="W29" s="848" t="s">
        <v>2087</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2.6</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f>INDEX(TEMPLATE_NOTE_POINT_FHD,B30,MATCH(TEMPLATE_SPHERE,TEMPLATE_SPHERE_LIST_FOR_NOTE,0))</f>
        <v>0</v>
      </c>
      <c r="L30" s="846" t="str">
        <f>IF(I30=0,"",I30)</f>
        <v>2.6</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
      </c>
      <c r="O30" s="959" t="s">
        <v>745</v>
      </c>
      <c r="P30" s="959" t="s">
        <v>736</v>
      </c>
      <c r="Q30" s="959" t="s">
        <v>745</v>
      </c>
      <c r="R30" s="959" t="s">
        <v>736</v>
      </c>
      <c r="S30" s="959"/>
      <c r="T30" s="966" t="s">
        <v>2088</v>
      </c>
      <c r="U30" s="848" t="s">
        <v>2088</v>
      </c>
      <c r="V30" s="848" t="s">
        <v>2088</v>
      </c>
      <c r="W30" s="848" t="s">
        <v>2088</v>
      </c>
      <c r="X30" s="845"/>
      <c r="Y30" s="1002"/>
      <c r="Z30" s="848"/>
      <c r="AA30" s="851" t="s">
        <v>2089</v>
      </c>
      <c r="AB30" s="851" t="s">
        <v>2089</v>
      </c>
      <c r="AC30" s="851" t="s">
        <v>2089</v>
      </c>
      <c r="AD30" s="848"/>
    </row>
    <row customHeight="1" ht="18">
      <c r="A31" s="847"/>
      <c r="B31" s="901">
        <v>14</v>
      </c>
      <c r="C31" s="845" t="s">
        <v>2090</v>
      </c>
      <c r="D31" s="969"/>
      <c r="E31" s="845"/>
      <c r="F31" s="845"/>
      <c r="G31" s="893"/>
      <c r="H31" s="960"/>
      <c r="I31" s="1007" t="str">
        <f>INDEX(TEMPLATE_NUMBER_POINT_FHD,B31,MATCH(TEMPLATE_SPHERE,TEMPLATE_SPHERE_LIST_FOR_NOTE,0))</f>
        <v>2.6.1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2.6.1</v>
      </c>
      <c r="M31" s="846" t="str">
        <f>IF(J31=0,"",J31)</f>
        <v>Расходы на оплату труда основного производственного персонала</v>
      </c>
      <c r="N31" s="846" t="str">
        <f>IF(K31=0,"",K31)</f>
        <v/>
      </c>
      <c r="O31" s="959" t="s">
        <v>2091</v>
      </c>
      <c r="P31" s="959" t="s">
        <v>739</v>
      </c>
      <c r="Q31" s="959" t="s">
        <v>2091</v>
      </c>
      <c r="R31" s="959" t="s">
        <v>739</v>
      </c>
      <c r="S31" s="959"/>
      <c r="T31" s="967" t="s">
        <v>2092</v>
      </c>
      <c r="U31" s="848" t="s">
        <v>2092</v>
      </c>
      <c r="V31" s="848" t="s">
        <v>2092</v>
      </c>
      <c r="W31" s="848" t="s">
        <v>2092</v>
      </c>
      <c r="X31" s="845"/>
      <c r="Y31" s="1002"/>
      <c r="Z31" s="848"/>
      <c r="AA31" s="851"/>
      <c r="AB31" s="851"/>
      <c r="AC31" s="851"/>
      <c r="AD31" s="848"/>
    </row>
    <row customHeight="1" ht="36">
      <c r="A32" s="847"/>
      <c r="B32" s="901">
        <v>15</v>
      </c>
      <c r="C32" s="845" t="s">
        <v>2093</v>
      </c>
      <c r="D32" s="969"/>
      <c r="E32" s="845"/>
      <c r="F32" s="845"/>
      <c r="G32" s="893"/>
      <c r="H32" s="960"/>
      <c r="I32" s="1007" t="str">
        <f>INDEX(TEMPLATE_NUMBER_POINT_FHD,B32,MATCH(TEMPLATE_SPHERE,TEMPLATE_SPHERE_LIST_FOR_NOTE,0))</f>
        <v>2.6.2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2.6.2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2094</v>
      </c>
      <c r="P32" s="959" t="s">
        <v>741</v>
      </c>
      <c r="Q32" s="959" t="s">
        <v>2094</v>
      </c>
      <c r="R32" s="959" t="s">
        <v>741</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8" t="s">
        <v>2095</v>
      </c>
      <c r="V32" s="848" t="s">
        <v>2095</v>
      </c>
      <c r="W32" s="848" t="s">
        <v>2095</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2.7</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f>INDEX(TEMPLATE_NOTE_POINT_FHD,B33,MATCH(TEMPLATE_SPHERE,TEMPLATE_SPHERE_LIST_FOR_NOTE,0))</f>
        <v>0</v>
      </c>
      <c r="L33" s="846" t="str">
        <f>IF(I33=0,"",I33)</f>
        <v>2.7</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
      </c>
      <c r="O33" s="959" t="s">
        <v>747</v>
      </c>
      <c r="P33" s="959" t="s">
        <v>743</v>
      </c>
      <c r="Q33" s="959" t="s">
        <v>747</v>
      </c>
      <c r="R33" s="959" t="s">
        <v>743</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8" t="s">
        <v>2096</v>
      </c>
      <c r="V33" s="848" t="s">
        <v>2096</v>
      </c>
      <c r="W33" s="848" t="s">
        <v>2097</v>
      </c>
      <c r="X33" s="845"/>
      <c r="Y33" s="1002"/>
      <c r="Z33" s="848"/>
      <c r="AA33" s="851" t="s">
        <v>2098</v>
      </c>
      <c r="AB33" s="851" t="s">
        <v>2098</v>
      </c>
      <c r="AC33" s="851" t="s">
        <v>2098</v>
      </c>
      <c r="AD33" s="848"/>
    </row>
    <row customHeight="1" ht="27">
      <c r="A34" s="847"/>
      <c r="B34" s="901">
        <v>17</v>
      </c>
      <c r="C34" s="845" t="s">
        <v>2099</v>
      </c>
      <c r="D34" s="969"/>
      <c r="E34" s="845"/>
      <c r="F34" s="845"/>
      <c r="G34" s="893"/>
      <c r="H34" s="960"/>
      <c r="I34" s="1007" t="str">
        <f>INDEX(TEMPLATE_NUMBER_POINT_FHD,B34,MATCH(TEMPLATE_SPHERE,TEMPLATE_SPHERE_LIST_FOR_NOTE,0))</f>
        <v>2.7.1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2.7.1</v>
      </c>
      <c r="M34" s="846" t="str">
        <f>IF(J34=0,"",J34)</f>
        <v>Расходы на оплату труда административно-управленческого персонала</v>
      </c>
      <c r="N34" s="846" t="str">
        <f>IF(K34=0,"",K34)</f>
        <v/>
      </c>
      <c r="O34" s="959" t="s">
        <v>2100</v>
      </c>
      <c r="P34" s="959" t="s">
        <v>2082</v>
      </c>
      <c r="Q34" s="959" t="s">
        <v>2100</v>
      </c>
      <c r="R34" s="959" t="s">
        <v>2082</v>
      </c>
      <c r="S34" s="959"/>
      <c r="T34" s="968" t="s">
        <v>2101</v>
      </c>
      <c r="U34" s="848" t="s">
        <v>2101</v>
      </c>
      <c r="V34" s="848" t="s">
        <v>2101</v>
      </c>
      <c r="W34" s="848" t="s">
        <v>2102</v>
      </c>
      <c r="X34" s="845"/>
      <c r="Y34" s="1002"/>
      <c r="Z34" s="848"/>
      <c r="AA34" s="851"/>
      <c r="AB34" s="848"/>
      <c r="AC34" s="848"/>
      <c r="AD34" s="848"/>
    </row>
    <row customHeight="1" ht="45">
      <c r="A35" s="847"/>
      <c r="B35" s="901">
        <v>18</v>
      </c>
      <c r="C35" s="845" t="s">
        <v>2103</v>
      </c>
      <c r="D35" s="969"/>
      <c r="E35" s="845"/>
      <c r="F35" s="845"/>
      <c r="G35" s="893"/>
      <c r="H35" s="960"/>
      <c r="I35" s="1007" t="str">
        <f>INDEX(TEMPLATE_NUMBER_POINT_FHD,B35,MATCH(TEMPLATE_SPHERE,TEMPLATE_SPHERE_LIST_FOR_NOTE,0))</f>
        <v>2.7.2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2.7.2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2104</v>
      </c>
      <c r="P35" s="959" t="s">
        <v>2084</v>
      </c>
      <c r="Q35" s="959" t="s">
        <v>2104</v>
      </c>
      <c r="R35" s="959" t="s">
        <v>2084</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8" t="s">
        <v>2105</v>
      </c>
      <c r="V35" s="848" t="s">
        <v>2105</v>
      </c>
      <c r="W35" s="848" t="s">
        <v>2105</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2.8</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2.8</v>
      </c>
      <c r="M36" s="846" t="str">
        <f>IF(J36=0,"",J36)</f>
        <v>Расходы на амортизацию основных средств и нематериальных активов</v>
      </c>
      <c r="N36" s="846" t="str">
        <f>IF(K36=0,"",K36)</f>
        <v/>
      </c>
      <c r="O36" s="959" t="s">
        <v>749</v>
      </c>
      <c r="P36" s="959" t="s">
        <v>745</v>
      </c>
      <c r="Q36" s="959" t="s">
        <v>749</v>
      </c>
      <c r="R36" s="959" t="s">
        <v>745</v>
      </c>
      <c r="S36" s="959"/>
      <c r="T36" s="966" t="s">
        <v>2106</v>
      </c>
      <c r="U36" s="848" t="s">
        <v>2106</v>
      </c>
      <c r="V36" s="848" t="s">
        <v>2106</v>
      </c>
      <c r="W36" s="848" t="s">
        <v>2106</v>
      </c>
      <c r="X36" s="845"/>
      <c r="Y36" s="1002"/>
      <c r="Z36" s="848"/>
      <c r="AA36" s="851"/>
      <c r="AB36" s="848"/>
      <c r="AC36" s="848"/>
      <c r="AD36" s="848"/>
    </row>
    <row customHeight="1" ht="18">
      <c r="A37" s="847"/>
      <c r="B37" s="901">
        <v>20</v>
      </c>
      <c r="C37" s="845" t="s">
        <v>2107</v>
      </c>
      <c r="D37" s="969"/>
      <c r="E37" s="845"/>
      <c r="F37" s="845"/>
      <c r="G37" s="893"/>
      <c r="H37" s="960"/>
      <c r="I37" s="1007" t="str">
        <f>INDEX(TEMPLATE_NUMBER_POINT_FHD,B37,MATCH(TEMPLATE_SPHERE,TEMPLATE_SPHERE_LIST_FOR_NOTE,0))</f>
        <v>2.8.1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2.8.1</v>
      </c>
      <c r="M37" s="846" t="str">
        <f>IF(J37=0,"",J37)</f>
        <v>Расходы на амортизацию основных средств</v>
      </c>
      <c r="N37" s="846" t="str">
        <f>IF(K37=0,"",K37)</f>
        <v/>
      </c>
      <c r="O37" s="959" t="s">
        <v>2108</v>
      </c>
      <c r="P37" s="959" t="s">
        <v>2091</v>
      </c>
      <c r="Q37" s="959" t="s">
        <v>2108</v>
      </c>
      <c r="R37" s="959" t="s">
        <v>2091</v>
      </c>
      <c r="S37" s="959"/>
      <c r="T37" s="966" t="s">
        <v>2109</v>
      </c>
      <c r="U37" s="848" t="s">
        <v>2109</v>
      </c>
      <c r="V37" s="848" t="s">
        <v>2109</v>
      </c>
      <c r="W37" s="848" t="s">
        <v>2109</v>
      </c>
      <c r="X37" s="845"/>
      <c r="Y37" s="1002"/>
      <c r="Z37" s="848"/>
      <c r="AA37" s="851"/>
      <c r="AB37" s="848"/>
      <c r="AC37" s="848"/>
      <c r="AD37" s="848"/>
    </row>
    <row customHeight="1" ht="18">
      <c r="A38" s="847"/>
      <c r="B38" s="901">
        <v>21</v>
      </c>
      <c r="C38" s="845" t="s">
        <v>2110</v>
      </c>
      <c r="D38" s="969"/>
      <c r="E38" s="845"/>
      <c r="F38" s="845"/>
      <c r="G38" s="893"/>
      <c r="H38" s="960"/>
      <c r="I38" s="1007" t="str">
        <f>INDEX(TEMPLATE_NUMBER_POINT_FHD,B38,MATCH(TEMPLATE_SPHERE,TEMPLATE_SPHERE_LIST_FOR_NOTE,0))</f>
        <v>2.8.2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2.8.2</v>
      </c>
      <c r="M38" s="846" t="str">
        <f>IF(J38=0,"",J38)</f>
        <v>Расходы на амортизацию нематериальных активов</v>
      </c>
      <c r="N38" s="846" t="str">
        <f>IF(K38=0,"",K38)</f>
        <v/>
      </c>
      <c r="O38" s="959" t="s">
        <v>2111</v>
      </c>
      <c r="P38" s="959" t="s">
        <v>2094</v>
      </c>
      <c r="Q38" s="959" t="s">
        <v>2111</v>
      </c>
      <c r="R38" s="959" t="s">
        <v>2094</v>
      </c>
      <c r="S38" s="959"/>
      <c r="T38" s="966" t="s">
        <v>2112</v>
      </c>
      <c r="U38" s="848" t="s">
        <v>2112</v>
      </c>
      <c r="V38" s="848" t="s">
        <v>2112</v>
      </c>
      <c r="W38" s="848" t="s">
        <v>2112</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2.9</v>
      </c>
      <c r="J39" s="1007" t="str">
        <f>INDEX(TEMPLATE_DATA_POINT_FHD,B39,MATCH(TEMPLATE_SPHERE,TEMPLATE_SPHERE_LIST_FOR_NOTE,0))</f>
        <v>Расходы на аренду имущества, используемого для осуществления регулируемого вида деятельности</v>
      </c>
      <c r="K39" s="1007">
        <f>INDEX(TEMPLATE_NOTE_POINT_FHD,B39,MATCH(TEMPLATE_SPHERE,TEMPLATE_SPHERE_LIST_FOR_NOTE,0))</f>
        <v>0</v>
      </c>
      <c r="L39" s="846" t="str">
        <f>IF(I39=0,"",I39)</f>
        <v>2.9</v>
      </c>
      <c r="M39" s="846" t="str">
        <f>IF(J39=0,"",J39)</f>
        <v>Расходы на аренду имущества, используемого для осуществления регулируемого вида деятельности</v>
      </c>
      <c r="N39" s="846" t="str">
        <f>IF(K39=0,"",K39)</f>
        <v/>
      </c>
      <c r="O39" s="959" t="s">
        <v>753</v>
      </c>
      <c r="P39" s="959" t="s">
        <v>747</v>
      </c>
      <c r="Q39" s="959" t="s">
        <v>753</v>
      </c>
      <c r="R39" s="959" t="s">
        <v>747</v>
      </c>
      <c r="S39" s="959"/>
      <c r="T39" s="966" t="s">
        <v>2113</v>
      </c>
      <c r="U39" s="848" t="s">
        <v>2114</v>
      </c>
      <c r="V39" s="848" t="s">
        <v>2115</v>
      </c>
      <c r="W39" s="848" t="s">
        <v>2116</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2.10</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2.10</v>
      </c>
      <c r="M40" s="846" t="str">
        <f>IF(J40=0,"",J40)</f>
        <v>Общепроизводственные расходы, в том числе:</v>
      </c>
      <c r="N40" s="846" t="str">
        <f>IF(K40=0,"",K40)</f>
        <v>Указывается общая сумма общепроизводственных расходов.</v>
      </c>
      <c r="O40" s="959" t="s">
        <v>2117</v>
      </c>
      <c r="P40" s="959" t="s">
        <v>749</v>
      </c>
      <c r="Q40" s="959" t="s">
        <v>2117</v>
      </c>
      <c r="R40" s="959" t="s">
        <v>749</v>
      </c>
      <c r="S40" s="959"/>
      <c r="T40" s="845" t="s">
        <v>2118</v>
      </c>
      <c r="U40" s="845" t="s">
        <v>2118</v>
      </c>
      <c r="V40" s="845" t="s">
        <v>2118</v>
      </c>
      <c r="W40" s="845" t="s">
        <v>2118</v>
      </c>
      <c r="X40" s="845"/>
      <c r="Y40" s="1002"/>
      <c r="Z40" s="848" t="s">
        <v>2119</v>
      </c>
      <c r="AA40" s="851" t="s">
        <v>2119</v>
      </c>
      <c r="AB40" s="851" t="s">
        <v>2119</v>
      </c>
      <c r="AC40" s="851" t="s">
        <v>2119</v>
      </c>
      <c r="AD40" s="848"/>
    </row>
    <row customHeight="1" ht="27">
      <c r="A41" s="847"/>
      <c r="B41" s="901">
        <v>24</v>
      </c>
      <c r="C41" s="845" t="s">
        <v>2120</v>
      </c>
      <c r="D41" s="969"/>
      <c r="E41" s="845"/>
      <c r="F41" s="845"/>
      <c r="G41" s="845"/>
      <c r="H41" s="893"/>
      <c r="I41" s="1007" t="str">
        <f>INDEX(TEMPLATE_NUMBER_POINT_FHD,B41,MATCH(TEMPLATE_SPHERE,TEMPLATE_SPHERE_LIST_FOR_NOTE,0))</f>
        <v>2.10.1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2.10.1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2121</v>
      </c>
      <c r="P41" s="959" t="s">
        <v>2108</v>
      </c>
      <c r="Q41" s="959" t="s">
        <v>2121</v>
      </c>
      <c r="R41" s="959" t="s">
        <v>2108</v>
      </c>
      <c r="S41" s="959"/>
      <c r="T41" s="845" t="s">
        <v>2122</v>
      </c>
      <c r="U41" s="845" t="s">
        <v>2122</v>
      </c>
      <c r="V41" s="845" t="s">
        <v>2122</v>
      </c>
      <c r="W41" s="845" t="s">
        <v>2122</v>
      </c>
      <c r="X41" s="845"/>
      <c r="Y41" s="1002"/>
      <c r="Z41" s="848" t="s">
        <v>2123</v>
      </c>
      <c r="AA41" s="848" t="s">
        <v>2123</v>
      </c>
      <c r="AB41" s="848" t="s">
        <v>2123</v>
      </c>
      <c r="AC41" s="848" t="s">
        <v>2123</v>
      </c>
      <c r="AD41" s="848"/>
    </row>
    <row customHeight="1" ht="27">
      <c r="A42" s="847"/>
      <c r="B42" s="901">
        <v>25</v>
      </c>
      <c r="C42" s="845" t="s">
        <v>2124</v>
      </c>
      <c r="D42" s="969"/>
      <c r="E42" s="845"/>
      <c r="F42" s="845"/>
      <c r="G42" s="845"/>
      <c r="H42" s="893"/>
      <c r="I42" s="1007" t="str">
        <f>INDEX(TEMPLATE_NUMBER_POINT_FHD,B42,MATCH(TEMPLATE_SPHERE,TEMPLATE_SPHERE_LIST_FOR_NOTE,0))</f>
        <v>2.10.2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2.10.2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2125</v>
      </c>
      <c r="P42" s="959" t="s">
        <v>2111</v>
      </c>
      <c r="Q42" s="959" t="s">
        <v>2125</v>
      </c>
      <c r="R42" s="959" t="s">
        <v>2111</v>
      </c>
      <c r="S42" s="959"/>
      <c r="T42" s="845" t="s">
        <v>2126</v>
      </c>
      <c r="U42" s="845" t="s">
        <v>2126</v>
      </c>
      <c r="V42" s="845" t="s">
        <v>2126</v>
      </c>
      <c r="W42" s="845" t="s">
        <v>2126</v>
      </c>
      <c r="X42" s="845"/>
      <c r="Y42" s="1002"/>
      <c r="Z42" s="848" t="s">
        <v>2127</v>
      </c>
      <c r="AA42" s="848" t="s">
        <v>2127</v>
      </c>
      <c r="AB42" s="848" t="s">
        <v>2127</v>
      </c>
      <c r="AC42" s="848" t="s">
        <v>2127</v>
      </c>
      <c r="AD42" s="848"/>
    </row>
    <row customHeight="1" ht="18">
      <c r="A43" s="847"/>
      <c r="B43" s="901">
        <v>26</v>
      </c>
      <c r="C43" s="845">
        <v>14</v>
      </c>
      <c r="D43" s="969"/>
      <c r="E43" s="845"/>
      <c r="F43" s="845"/>
      <c r="G43" s="845"/>
      <c r="H43" s="893"/>
      <c r="I43" s="1007" t="str">
        <f>INDEX(TEMPLATE_NUMBER_POINT_FHD,B43,MATCH(TEMPLATE_SPHERE,TEMPLATE_SPHERE_LIST_FOR_NOTE,0))</f>
        <v>2.11</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2.11</v>
      </c>
      <c r="M43" s="846" t="str">
        <f>IF(J43=0,"",J43)</f>
        <v>Общехозяйственные расходы, в том числе:</v>
      </c>
      <c r="N43" s="846" t="str">
        <f>IF(K43=0,"",K43)</f>
        <v>Указывается общая сумма общехозяйственных расходов.</v>
      </c>
      <c r="O43" s="959" t="s">
        <v>2128</v>
      </c>
      <c r="P43" s="959" t="s">
        <v>753</v>
      </c>
      <c r="Q43" s="959" t="s">
        <v>2128</v>
      </c>
      <c r="R43" s="959" t="s">
        <v>753</v>
      </c>
      <c r="S43" s="959"/>
      <c r="T43" s="845" t="s">
        <v>2129</v>
      </c>
      <c r="U43" s="845" t="s">
        <v>2129</v>
      </c>
      <c r="V43" s="845" t="s">
        <v>2129</v>
      </c>
      <c r="W43" s="845" t="s">
        <v>2129</v>
      </c>
      <c r="X43" s="845"/>
      <c r="Y43" s="1002"/>
      <c r="Z43" s="848" t="s">
        <v>2130</v>
      </c>
      <c r="AA43" s="848" t="s">
        <v>2130</v>
      </c>
      <c r="AB43" s="848" t="s">
        <v>2130</v>
      </c>
      <c r="AC43" s="848" t="s">
        <v>2130</v>
      </c>
      <c r="AD43" s="848"/>
    </row>
    <row customHeight="1" ht="27">
      <c r="A44" s="847"/>
      <c r="B44" s="901">
        <v>27</v>
      </c>
      <c r="C44" s="845" t="s">
        <v>2131</v>
      </c>
      <c r="D44" s="969"/>
      <c r="E44" s="845"/>
      <c r="F44" s="845"/>
      <c r="G44" s="845"/>
      <c r="H44" s="893"/>
      <c r="I44" s="1007" t="str">
        <f>INDEX(TEMPLATE_NUMBER_POINT_FHD,B44,MATCH(TEMPLATE_SPHERE,TEMPLATE_SPHERE_LIST_FOR_NOTE,0))</f>
        <v>2.11.1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2.11.1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2132</v>
      </c>
      <c r="P44" s="959" t="s">
        <v>2133</v>
      </c>
      <c r="Q44" s="959" t="s">
        <v>2132</v>
      </c>
      <c r="R44" s="959" t="s">
        <v>2133</v>
      </c>
      <c r="S44" s="959"/>
      <c r="T44" s="845" t="s">
        <v>2122</v>
      </c>
      <c r="U44" s="845" t="s">
        <v>2122</v>
      </c>
      <c r="V44" s="845" t="s">
        <v>2122</v>
      </c>
      <c r="W44" s="845" t="s">
        <v>2122</v>
      </c>
      <c r="X44" s="845"/>
      <c r="Y44" s="1002"/>
      <c r="Z44" s="848" t="s">
        <v>2134</v>
      </c>
      <c r="AA44" s="848" t="s">
        <v>2134</v>
      </c>
      <c r="AB44" s="848" t="s">
        <v>2134</v>
      </c>
      <c r="AC44" s="848" t="s">
        <v>2134</v>
      </c>
      <c r="AD44" s="848"/>
    </row>
    <row customHeight="1" ht="27">
      <c r="A45" s="847"/>
      <c r="B45" s="901">
        <v>28</v>
      </c>
      <c r="C45" s="845" t="s">
        <v>2135</v>
      </c>
      <c r="D45" s="969"/>
      <c r="E45" s="845"/>
      <c r="F45" s="845"/>
      <c r="G45" s="845"/>
      <c r="H45" s="893"/>
      <c r="I45" s="1007" t="str">
        <f>INDEX(TEMPLATE_NUMBER_POINT_FHD,B45,MATCH(TEMPLATE_SPHERE,TEMPLATE_SPHERE_LIST_FOR_NOTE,0))</f>
        <v>2.11.2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2.11.2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2136</v>
      </c>
      <c r="P45" s="959" t="s">
        <v>2137</v>
      </c>
      <c r="Q45" s="959" t="s">
        <v>2136</v>
      </c>
      <c r="R45" s="959" t="s">
        <v>2137</v>
      </c>
      <c r="S45" s="959"/>
      <c r="T45" s="845" t="s">
        <v>2126</v>
      </c>
      <c r="U45" s="845" t="s">
        <v>2126</v>
      </c>
      <c r="V45" s="845" t="s">
        <v>2126</v>
      </c>
      <c r="W45" s="845" t="s">
        <v>2126</v>
      </c>
      <c r="X45" s="845"/>
      <c r="Y45" s="1002"/>
      <c r="Z45" s="848" t="s">
        <v>2138</v>
      </c>
      <c r="AA45" s="848" t="s">
        <v>2138</v>
      </c>
      <c r="AB45" s="848" t="s">
        <v>2138</v>
      </c>
      <c r="AC45" s="848" t="s">
        <v>2138</v>
      </c>
      <c r="AD45" s="848"/>
    </row>
    <row customHeight="1" ht="54">
      <c r="A46" s="847"/>
      <c r="B46" s="901">
        <v>29</v>
      </c>
      <c r="C46" s="845">
        <v>15</v>
      </c>
      <c r="D46" s="969"/>
      <c r="E46" s="845"/>
      <c r="F46" s="845"/>
      <c r="G46" s="845"/>
      <c r="H46" s="893"/>
      <c r="I46" s="1007" t="str">
        <f>INDEX(TEMPLATE_NUMBER_POINT_FHD,B46,MATCH(TEMPLATE_SPHERE,TEMPLATE_SPHERE_LIST_FOR_NOTE,0))</f>
        <v>2.12</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2.12</v>
      </c>
      <c r="M46" s="846" t="str">
        <f>IF(J46=0,"",J46)</f>
        <v>Расходы на капитальный и текущий ремонт основных средств</v>
      </c>
      <c r="N46" s="846"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2139</v>
      </c>
      <c r="P46" s="959" t="s">
        <v>2117</v>
      </c>
      <c r="Q46" s="959" t="s">
        <v>2139</v>
      </c>
      <c r="R46" s="959" t="s">
        <v>2117</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5" t="s">
        <v>2140</v>
      </c>
      <c r="V46" s="845" t="s">
        <v>2140</v>
      </c>
      <c r="W46" s="845" t="s">
        <v>2140</v>
      </c>
      <c r="X46" s="845"/>
      <c r="Y46" s="1002"/>
      <c r="Z46" s="848" t="s">
        <v>2141</v>
      </c>
      <c r="AA46" s="848" t="s">
        <v>2142</v>
      </c>
      <c r="AB46" s="848" t="s">
        <v>2142</v>
      </c>
      <c r="AC46" s="848" t="s">
        <v>2142</v>
      </c>
      <c r="AD46" s="848"/>
    </row>
    <row customHeight="1" ht="54">
      <c r="A47" s="847"/>
      <c r="B47" s="901">
        <v>30</v>
      </c>
      <c r="C47" s="845" t="s">
        <v>2143</v>
      </c>
      <c r="D47" s="969"/>
      <c r="E47" s="845"/>
      <c r="F47" s="845"/>
      <c r="G47" s="845"/>
      <c r="H47" s="893"/>
      <c r="I47" s="1007" t="str">
        <f>INDEX(TEMPLATE_NUMBER_POINT_FHD,B47,MATCH(TEMPLATE_SPHERE,TEMPLATE_SPHERE_LIST_FOR_NOTE,0))</f>
        <v>2.12.1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2.12.1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2144</v>
      </c>
      <c r="P47" s="959" t="s">
        <v>2121</v>
      </c>
      <c r="Q47" s="959" t="s">
        <v>2144</v>
      </c>
      <c r="R47" s="959" t="s">
        <v>2121</v>
      </c>
      <c r="S47" s="959"/>
      <c r="T47" s="845" t="s">
        <v>2145</v>
      </c>
      <c r="U47" s="845" t="s">
        <v>2145</v>
      </c>
      <c r="V47" s="845" t="s">
        <v>2145</v>
      </c>
      <c r="W47" s="845" t="s">
        <v>2145</v>
      </c>
      <c r="X47" s="845"/>
      <c r="Y47" s="1002"/>
      <c r="Z47" s="848"/>
      <c r="AA47" s="851"/>
      <c r="AB47" s="851"/>
      <c r="AC47" s="851"/>
      <c r="AD47" s="848"/>
    </row>
    <row customHeight="1" ht="54">
      <c r="A48" s="847"/>
      <c r="B48" s="901">
        <v>31</v>
      </c>
      <c r="C48" s="845">
        <v>16</v>
      </c>
      <c r="D48" s="969"/>
      <c r="E48" s="845"/>
      <c r="F48" s="845"/>
      <c r="G48" s="845"/>
      <c r="H48" s="893"/>
      <c r="I48" s="1007">
        <f>INDEX(TEMPLATE_NUMBER_POINT_FHD,B48,MATCH(TEMPLATE_SPHERE,TEMPLATE_SPHERE_LIST_FOR_NOTE,0))</f>
        <v>0</v>
      </c>
      <c r="J48" s="1007">
        <f>INDEX(TEMPLATE_DATA_POINT_FHD,B48,MATCH(TEMPLATE_SPHERE,TEMPLATE_SPHERE_LIST_FOR_NOTE,0))</f>
        <v>0</v>
      </c>
      <c r="K48" s="1007">
        <f>INDEX(TEMPLATE_NOTE_POINT_FHD,B48,MATCH(TEMPLATE_SPHERE,TEMPLATE_SPHERE_LIST_FOR_NOTE,0))</f>
        <v>0</v>
      </c>
      <c r="L48" s="846" t="str">
        <f>IF(I48=0,"",I48)</f>
        <v/>
      </c>
      <c r="M48" s="846" t="str">
        <f>IF(J48=0,"",J48)</f>
        <v/>
      </c>
      <c r="N48" s="846" t="str">
        <f>IF(K48=0,"",K48)</f>
        <v/>
      </c>
      <c r="O48" s="959"/>
      <c r="P48" s="959" t="s">
        <v>2128</v>
      </c>
      <c r="Q48" s="959" t="s">
        <v>2146</v>
      </c>
      <c r="R48" s="959" t="s">
        <v>2128</v>
      </c>
      <c r="S48" s="959"/>
      <c r="T48" s="845"/>
      <c r="U48" s="845" t="s">
        <v>2147</v>
      </c>
      <c r="V48" s="845" t="s">
        <v>2148</v>
      </c>
      <c r="W48" s="845" t="s">
        <v>2148</v>
      </c>
      <c r="X48" s="845"/>
      <c r="Y48" s="1002"/>
      <c r="Z48" s="848"/>
      <c r="AA48" s="851" t="s">
        <v>2142</v>
      </c>
      <c r="AB48" s="851" t="s">
        <v>2142</v>
      </c>
      <c r="AC48" s="851" t="s">
        <v>2142</v>
      </c>
      <c r="AD48" s="848"/>
    </row>
    <row customHeight="1" ht="54">
      <c r="A49" s="847"/>
      <c r="B49" s="901">
        <v>32</v>
      </c>
      <c r="C49" s="845" t="s">
        <v>2149</v>
      </c>
      <c r="D49" s="969"/>
      <c r="E49" s="845"/>
      <c r="F49" s="845"/>
      <c r="G49" s="845"/>
      <c r="H49" s="893"/>
      <c r="I49" s="1007">
        <f>INDEX(TEMPLATE_NUMBER_POINT_FHD,B49,MATCH(TEMPLATE_SPHERE,TEMPLATE_SPHERE_LIST_FOR_NOTE,0))</f>
        <v>0</v>
      </c>
      <c r="J49" s="1007">
        <f>INDEX(TEMPLATE_DATA_POINT_FHD,B49,MATCH(TEMPLATE_SPHERE,TEMPLATE_SPHERE_LIST_FOR_NOTE,0))</f>
        <v>0</v>
      </c>
      <c r="K49" s="1007">
        <f>INDEX(TEMPLATE_NOTE_POINT_FHD,B49,MATCH(TEMPLATE_SPHERE,TEMPLATE_SPHERE_LIST_FOR_NOTE,0))</f>
        <v>0</v>
      </c>
      <c r="L49" s="846" t="str">
        <f>IF(I49=0,"",I49)</f>
        <v/>
      </c>
      <c r="M49" s="846" t="str">
        <f>IF(J49=0,"",J49)</f>
        <v/>
      </c>
      <c r="N49" s="846" t="str">
        <f>IF(K49=0,"",K49)</f>
        <v/>
      </c>
      <c r="O49" s="959"/>
      <c r="P49" s="959" t="s">
        <v>2132</v>
      </c>
      <c r="Q49" s="959" t="s">
        <v>2150</v>
      </c>
      <c r="R49" s="959" t="s">
        <v>2132</v>
      </c>
      <c r="S49" s="959"/>
      <c r="T49" s="845"/>
      <c r="U49" s="845" t="s">
        <v>2145</v>
      </c>
      <c r="V49" s="845" t="s">
        <v>2145</v>
      </c>
      <c r="W49" s="845" t="s">
        <v>2145</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2.13</v>
      </c>
      <c r="J50" s="1007"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6" t="str">
        <f>IF(I50=0,"",I50)</f>
        <v>2.13</v>
      </c>
      <c r="M50" s="846"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6"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9" t="s">
        <v>2146</v>
      </c>
      <c r="P50" s="959" t="s">
        <v>2139</v>
      </c>
      <c r="Q50" s="959" t="s">
        <v>2151</v>
      </c>
      <c r="R50" s="959" t="s">
        <v>2139</v>
      </c>
      <c r="S50" s="959"/>
      <c r="T50" s="845" t="s">
        <v>2152</v>
      </c>
      <c r="U50" s="845" t="s">
        <v>2153</v>
      </c>
      <c r="V50" s="845" t="s">
        <v>2154</v>
      </c>
      <c r="W50" s="845" t="s">
        <v>2155</v>
      </c>
      <c r="X50" s="845"/>
      <c r="Y50" s="1002"/>
      <c r="Z50" s="848" t="s">
        <v>2156</v>
      </c>
      <c r="AA50" s="851" t="s">
        <v>2157</v>
      </c>
      <c r="AB50" s="851" t="s">
        <v>2157</v>
      </c>
      <c r="AC50" s="851" t="s">
        <v>2157</v>
      </c>
      <c r="AD50" s="848"/>
    </row>
    <row customHeight="1" ht="27">
      <c r="A51" s="847"/>
      <c r="B51" s="901">
        <v>34</v>
      </c>
      <c r="C51" s="845" t="s">
        <v>2158</v>
      </c>
      <c r="D51" s="969"/>
      <c r="E51" s="845"/>
      <c r="F51" s="845"/>
      <c r="G51" s="845"/>
      <c r="H51" s="893"/>
      <c r="I51" s="1007" t="str">
        <f>INDEX(TEMPLATE_NUMBER_POINT_FHD,B51,MATCH(TEMPLATE_SPHERE,TEMPLATE_SPHERE_LIST_FOR_NOTE,0))</f>
        <v>3</v>
      </c>
      <c r="J51" s="1007"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7">
        <f>INDEX(TEMPLATE_NOTE_POINT_FHD,B51,MATCH(TEMPLATE_SPHERE,TEMPLATE_SPHERE_LIST_FOR_NOTE,0))</f>
        <v>0</v>
      </c>
      <c r="L51" s="846" t="str">
        <f>IF(I51=0,"",I51)</f>
        <v>3</v>
      </c>
      <c r="M51" s="846" t="str">
        <f>IF(J51=0,"",J51)</f>
        <v>Валовая прибыль (убытки) от реализации товаров и оказания услуг по регулируемому виду деятельности</v>
      </c>
      <c r="N51" s="846" t="str">
        <f>IF(K51=0,"",K51)</f>
        <v/>
      </c>
      <c r="O51" s="959" t="s">
        <v>92</v>
      </c>
      <c r="P51" s="959"/>
      <c r="Q51" s="959"/>
      <c r="R51" s="959"/>
      <c r="S51" s="959"/>
      <c r="T51" s="845" t="s">
        <v>2159</v>
      </c>
      <c r="U51" s="845"/>
      <c r="V51" s="845"/>
      <c r="W51" s="845"/>
      <c r="X51" s="845"/>
      <c r="Y51" s="1002"/>
      <c r="Z51" s="848"/>
      <c r="AA51" s="851"/>
      <c r="AB51" s="851"/>
      <c r="AC51" s="851"/>
      <c r="AD51" s="848"/>
    </row>
    <row customHeight="1" ht="36">
      <c r="A52" s="847"/>
      <c r="B52" s="901">
        <v>35</v>
      </c>
      <c r="C52" s="845" t="s">
        <v>2052</v>
      </c>
      <c r="D52" s="969" t="s">
        <v>2052</v>
      </c>
      <c r="E52" s="845" t="s">
        <v>2052</v>
      </c>
      <c r="F52" s="845" t="s">
        <v>2052</v>
      </c>
      <c r="G52" s="845"/>
      <c r="H52" s="893"/>
      <c r="I52" s="1007" t="str">
        <f>INDEX(TEMPLATE_NUMBER_POINT_FHD,B52,MATCH(TEMPLATE_SPHERE,TEMPLATE_SPHERE_LIST_FOR_NOTE,0))</f>
        <v>4</v>
      </c>
      <c r="J52" s="1007" t="str">
        <f>INDEX(TEMPLATE_DATA_POINT_FHD,B52,MATCH(TEMPLATE_SPHERE,TEMPLATE_SPHERE_LIST_FOR_NOTE,0))</f>
        <v>Чистая прибыль, полученная от регулируемого вида деятельности,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4</v>
      </c>
      <c r="M52" s="846" t="str">
        <f>IF(J52=0,"",J52)</f>
        <v>Чистая прибыль, полученная от регулируемого вида деятельности, в том числе:</v>
      </c>
      <c r="N52" s="846" t="str">
        <f>IF(K52=0,"",K52)</f>
        <v>Указывается общая сумма чистой прибыли, полученной от регулируемого вида деятельности.</v>
      </c>
      <c r="O52" s="959" t="s">
        <v>93</v>
      </c>
      <c r="P52" s="959" t="s">
        <v>92</v>
      </c>
      <c r="Q52" s="959" t="s">
        <v>92</v>
      </c>
      <c r="R52" s="959" t="s">
        <v>92</v>
      </c>
      <c r="S52" s="959"/>
      <c r="T52" s="845" t="s">
        <v>2160</v>
      </c>
      <c r="U52" s="845" t="s">
        <v>2161</v>
      </c>
      <c r="V52" s="845" t="s">
        <v>2162</v>
      </c>
      <c r="W52" s="845" t="s">
        <v>2163</v>
      </c>
      <c r="X52" s="845"/>
      <c r="Y52" s="1002"/>
      <c r="Z52" s="848" t="s">
        <v>757</v>
      </c>
      <c r="AA52" s="851" t="s">
        <v>757</v>
      </c>
      <c r="AB52" s="851" t="s">
        <v>757</v>
      </c>
      <c r="AC52" s="851" t="s">
        <v>757</v>
      </c>
      <c r="AD52" s="848"/>
    </row>
    <row customHeight="1" ht="36">
      <c r="A53" s="847"/>
      <c r="B53" s="901">
        <v>36</v>
      </c>
      <c r="C53" s="845">
        <v>1</v>
      </c>
      <c r="D53" s="969"/>
      <c r="E53" s="845"/>
      <c r="F53" s="845"/>
      <c r="G53" s="845"/>
      <c r="H53" s="893"/>
      <c r="I53" s="1007" t="str">
        <f>INDEX(TEMPLATE_NUMBER_POINT_FHD,B53,MATCH(TEMPLATE_SPHERE,TEMPLATE_SPHERE_LIST_FOR_NOTE,0))</f>
        <v>4.1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4.1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761</v>
      </c>
      <c r="P53" s="959" t="s">
        <v>333</v>
      </c>
      <c r="Q53" s="959" t="s">
        <v>333</v>
      </c>
      <c r="R53" s="959" t="s">
        <v>333</v>
      </c>
      <c r="S53" s="959"/>
      <c r="T53" s="845" t="s">
        <v>2164</v>
      </c>
      <c r="U53" s="845" t="s">
        <v>2164</v>
      </c>
      <c r="V53" s="845" t="s">
        <v>2164</v>
      </c>
      <c r="W53" s="845" t="s">
        <v>2164</v>
      </c>
      <c r="X53" s="845"/>
      <c r="Y53" s="1002"/>
      <c r="Z53" s="848"/>
      <c r="AA53" s="851"/>
      <c r="AB53" s="848"/>
      <c r="AC53" s="848"/>
      <c r="AD53" s="848"/>
    </row>
    <row customHeight="1" ht="18">
      <c r="A54" s="847"/>
      <c r="B54" s="901">
        <v>37</v>
      </c>
      <c r="C54" s="845" t="s">
        <v>2058</v>
      </c>
      <c r="D54" s="969" t="s">
        <v>2058</v>
      </c>
      <c r="E54" s="845" t="s">
        <v>2058</v>
      </c>
      <c r="F54" s="845" t="s">
        <v>2058</v>
      </c>
      <c r="G54" s="845"/>
      <c r="H54" s="893"/>
      <c r="I54" s="1007" t="str">
        <f>INDEX(TEMPLATE_NUMBER_POINT_FHD,B54,MATCH(TEMPLATE_SPHERE,TEMPLATE_SPHERE_LIST_FOR_NOTE,0))</f>
        <v>5</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5</v>
      </c>
      <c r="M54" s="846" t="str">
        <f>IF(J54=0,"",J54)</f>
        <v>Изменение стоимости основных фондов, в том числе:</v>
      </c>
      <c r="N54" s="846" t="str">
        <f>IF(K54=0,"",K54)</f>
        <v>Указывается общее изменение стоимости основных фондов.</v>
      </c>
      <c r="O54" s="959" t="s">
        <v>113</v>
      </c>
      <c r="P54" s="959" t="s">
        <v>93</v>
      </c>
      <c r="Q54" s="959" t="s">
        <v>93</v>
      </c>
      <c r="R54" s="959" t="s">
        <v>93</v>
      </c>
      <c r="S54" s="959"/>
      <c r="T54" s="845" t="s">
        <v>759</v>
      </c>
      <c r="U54" s="845" t="s">
        <v>759</v>
      </c>
      <c r="V54" s="845" t="s">
        <v>759</v>
      </c>
      <c r="W54" s="845" t="s">
        <v>759</v>
      </c>
      <c r="X54" s="845"/>
      <c r="Y54" s="1002"/>
      <c r="Z54" s="848" t="s">
        <v>760</v>
      </c>
      <c r="AA54" s="848" t="s">
        <v>760</v>
      </c>
      <c r="AB54" s="848" t="s">
        <v>760</v>
      </c>
      <c r="AC54" s="848" t="s">
        <v>760</v>
      </c>
      <c r="AD54" s="848"/>
    </row>
    <row customHeight="1" ht="36">
      <c r="A55" s="847"/>
      <c r="B55" s="901">
        <v>38</v>
      </c>
      <c r="C55" s="845">
        <v>1</v>
      </c>
      <c r="D55" s="969"/>
      <c r="E55" s="845"/>
      <c r="F55" s="845"/>
      <c r="G55" s="845"/>
      <c r="H55" s="893"/>
      <c r="I55" s="1007" t="str">
        <f>INDEX(TEMPLATE_NUMBER_POINT_FHD,B55,MATCH(TEMPLATE_SPHERE,TEMPLATE_SPHERE_LIST_FOR_NOTE,0))</f>
        <v>5.1</v>
      </c>
      <c r="J55" s="1007" t="str">
        <f>INDEX(TEMPLATE_DATA_POINT_FHD,B55,MATCH(TEMPLATE_SPHERE,TEMPLATE_SPHERE_LIST_FOR_NOTE,0))</f>
        <v>Изменение стоимости основных фондов за счет:</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5.1</v>
      </c>
      <c r="M55" s="846" t="str">
        <f>IF(J55=0,"",J55)</f>
        <v>Изменение стоимости основных фондов за счет:</v>
      </c>
      <c r="N55" s="846" t="str">
        <f>IF(K55=0,"",K55)</f>
        <v>Указываются общее изменение стоимости основных фондов за счет их ввода в эксплуатацию и вывода из эксплуатации.</v>
      </c>
      <c r="O55" s="959" t="s">
        <v>322</v>
      </c>
      <c r="P55" s="959" t="s">
        <v>761</v>
      </c>
      <c r="Q55" s="959" t="s">
        <v>761</v>
      </c>
      <c r="R55" s="959" t="s">
        <v>761</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5" t="s">
        <v>2165</v>
      </c>
      <c r="V55" s="845" t="s">
        <v>2165</v>
      </c>
      <c r="W55" s="845" t="s">
        <v>2165</v>
      </c>
      <c r="X55" s="845"/>
      <c r="Y55" s="1002"/>
      <c r="Z55" s="848" t="s">
        <v>2166</v>
      </c>
      <c r="AA55" s="848" t="s">
        <v>2166</v>
      </c>
      <c r="AB55" s="848" t="s">
        <v>2166</v>
      </c>
      <c r="AC55" s="848" t="s">
        <v>2166</v>
      </c>
      <c r="AD55" s="848"/>
    </row>
    <row customHeight="1" ht="27">
      <c r="A56" s="847"/>
      <c r="B56" s="901">
        <v>39</v>
      </c>
      <c r="C56" s="845" t="s">
        <v>1029</v>
      </c>
      <c r="D56" s="969"/>
      <c r="E56" s="845"/>
      <c r="F56" s="845"/>
      <c r="G56" s="845"/>
      <c r="H56" s="893"/>
      <c r="I56" s="1007" t="str">
        <f>INDEX(TEMPLATE_NUMBER_POINT_FHD,B56,MATCH(TEMPLATE_SPHERE,TEMPLATE_SPHERE_LIST_FOR_NOTE,0))</f>
        <v>5.1.1</v>
      </c>
      <c r="J56" s="1007" t="str">
        <f>INDEX(TEMPLATE_DATA_POINT_FHD,B56,MATCH(TEMPLATE_SPHERE,TEMPLATE_SPHERE_LIST_FOR_NOTE,0))</f>
        <v>Изменения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5.1.1</v>
      </c>
      <c r="M56" s="846" t="str">
        <f>IF(J56=0,"",J56)</f>
        <v>Изменения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1146</v>
      </c>
      <c r="P56" s="959" t="s">
        <v>764</v>
      </c>
      <c r="Q56" s="959" t="s">
        <v>764</v>
      </c>
      <c r="R56" s="959" t="s">
        <v>764</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5" t="s">
        <v>2167</v>
      </c>
      <c r="V56" s="845" t="s">
        <v>2167</v>
      </c>
      <c r="W56" s="845" t="s">
        <v>2167</v>
      </c>
      <c r="X56" s="845"/>
      <c r="Y56" s="1002"/>
      <c r="Z56" s="848" t="s">
        <v>766</v>
      </c>
      <c r="AA56" s="848" t="s">
        <v>766</v>
      </c>
      <c r="AB56" s="848" t="s">
        <v>766</v>
      </c>
      <c r="AC56" s="848" t="s">
        <v>766</v>
      </c>
      <c r="AD56" s="848"/>
    </row>
    <row customHeight="1" ht="27">
      <c r="A57" s="847"/>
      <c r="B57" s="901">
        <v>40</v>
      </c>
      <c r="C57" s="845" t="s">
        <v>1031</v>
      </c>
      <c r="D57" s="969"/>
      <c r="E57" s="845"/>
      <c r="F57" s="845"/>
      <c r="G57" s="845"/>
      <c r="H57" s="893"/>
      <c r="I57" s="1007" t="str">
        <f>INDEX(TEMPLATE_NUMBER_POINT_FHD,B57,MATCH(TEMPLATE_SPHERE,TEMPLATE_SPHERE_LIST_FOR_NOTE,0))</f>
        <v>5.1.2</v>
      </c>
      <c r="J57" s="1007" t="str">
        <f>INDEX(TEMPLATE_DATA_POINT_FHD,B57,MATCH(TEMPLATE_SPHERE,TEMPLATE_SPHERE_LIST_FOR_NOTE,0))</f>
        <v>Изменения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5.1.2</v>
      </c>
      <c r="M57" s="846" t="str">
        <f>IF(J57=0,"",J57)</f>
        <v>Изменения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2168</v>
      </c>
      <c r="P57" s="959" t="s">
        <v>767</v>
      </c>
      <c r="Q57" s="959" t="s">
        <v>767</v>
      </c>
      <c r="R57" s="959" t="s">
        <v>767</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5" t="s">
        <v>2169</v>
      </c>
      <c r="V57" s="845" t="s">
        <v>2169</v>
      </c>
      <c r="W57" s="845" t="s">
        <v>2169</v>
      </c>
      <c r="X57" s="845"/>
      <c r="Y57" s="1002"/>
      <c r="Z57" s="848" t="s">
        <v>769</v>
      </c>
      <c r="AA57" s="848" t="s">
        <v>769</v>
      </c>
      <c r="AB57" s="848" t="s">
        <v>769</v>
      </c>
      <c r="AC57" s="848" t="s">
        <v>769</v>
      </c>
      <c r="AD57" s="848"/>
    </row>
    <row customHeight="1" ht="18">
      <c r="A58" s="847"/>
      <c r="B58" s="901">
        <v>41</v>
      </c>
      <c r="C58" s="845">
        <v>2</v>
      </c>
      <c r="D58" s="969"/>
      <c r="E58" s="845"/>
      <c r="F58" s="845"/>
      <c r="G58" s="845"/>
      <c r="H58" s="893"/>
      <c r="I58" s="1007" t="str">
        <f>INDEX(TEMPLATE_NUMBER_POINT_FHD,B58,MATCH(TEMPLATE_SPHERE,TEMPLATE_SPHERE_LIST_FOR_NOTE,0))</f>
        <v>5.2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5.2</v>
      </c>
      <c r="M58" s="846" t="str">
        <f>IF(J58=0,"",J58)</f>
        <v>Изменение стоимости основных фондов за счет их переоценки</v>
      </c>
      <c r="N58" s="846" t="str">
        <f>IF(K58=0,"",K58)</f>
        <v/>
      </c>
      <c r="O58" s="959" t="s">
        <v>889</v>
      </c>
      <c r="P58" s="959" t="s">
        <v>803</v>
      </c>
      <c r="Q58" s="959" t="s">
        <v>803</v>
      </c>
      <c r="R58" s="959" t="s">
        <v>803</v>
      </c>
      <c r="S58" s="959"/>
      <c r="T58" s="846"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5" t="s">
        <v>2170</v>
      </c>
      <c r="V58" s="845" t="s">
        <v>2170</v>
      </c>
      <c r="W58" s="845" t="s">
        <v>2170</v>
      </c>
      <c r="X58" s="845"/>
      <c r="Y58" s="1002"/>
      <c r="Z58" s="848"/>
      <c r="AA58" s="851"/>
      <c r="AB58" s="848"/>
      <c r="AC58" s="848"/>
      <c r="AD58" s="848"/>
    </row>
    <row customHeight="1" ht="36">
      <c r="A59" s="847"/>
      <c r="B59" s="901">
        <v>42</v>
      </c>
      <c r="C59" s="845">
        <v>3</v>
      </c>
      <c r="D59" s="969" t="s">
        <v>2158</v>
      </c>
      <c r="E59" s="845" t="s">
        <v>2158</v>
      </c>
      <c r="F59" s="845" t="s">
        <v>2158</v>
      </c>
      <c r="G59" s="845"/>
      <c r="H59" s="893"/>
      <c r="I59" s="1007">
        <f>INDEX(TEMPLATE_NUMBER_POINT_FHD,B59,MATCH(TEMPLATE_SPHERE,TEMPLATE_SPHERE_LIST_FOR_NOTE,0))</f>
        <v>0</v>
      </c>
      <c r="J59" s="1007">
        <f>INDEX(TEMPLATE_DATA_POINT_FHD,B59,MATCH(TEMPLATE_SPHERE,TEMPLATE_SPHERE_LIST_FOR_NOTE,0))</f>
        <v>0</v>
      </c>
      <c r="K59" s="1007">
        <f>INDEX(TEMPLATE_NOTE_POINT_FHD,B59,MATCH(TEMPLATE_SPHERE,TEMPLATE_SPHERE_LIST_FOR_NOTE,0))</f>
        <v>0</v>
      </c>
      <c r="L59" s="846" t="str">
        <f>IF(I59=0,"",I59)</f>
        <v/>
      </c>
      <c r="M59" s="846" t="str">
        <f>IF(J59=0,"",J59)</f>
        <v/>
      </c>
      <c r="N59" s="846" t="str">
        <f>IF(K59=0,"",K59)</f>
        <v/>
      </c>
      <c r="O59" s="959"/>
      <c r="P59" s="959" t="s">
        <v>113</v>
      </c>
      <c r="Q59" s="959" t="s">
        <v>113</v>
      </c>
      <c r="R59" s="959" t="s">
        <v>113</v>
      </c>
      <c r="S59" s="959"/>
      <c r="T59" s="845"/>
      <c r="U59" s="845" t="s">
        <v>2171</v>
      </c>
      <c r="V59" s="845" t="s">
        <v>2172</v>
      </c>
      <c r="W59" s="845" t="s">
        <v>2173</v>
      </c>
      <c r="X59" s="845"/>
      <c r="Y59" s="1002"/>
      <c r="Z59" s="848"/>
      <c r="AA59" s="851"/>
      <c r="AB59" s="848"/>
      <c r="AC59" s="848"/>
      <c r="AD59" s="848"/>
    </row>
    <row customHeight="1" ht="81">
      <c r="A60" s="847"/>
      <c r="B60" s="901">
        <v>43</v>
      </c>
      <c r="C60" s="845" t="s">
        <v>2174</v>
      </c>
      <c r="D60" s="969" t="s">
        <v>2174</v>
      </c>
      <c r="E60" s="845" t="s">
        <v>2174</v>
      </c>
      <c r="F60" s="845" t="s">
        <v>2174</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9" t="s">
        <v>94</v>
      </c>
      <c r="P60" s="959" t="s">
        <v>94</v>
      </c>
      <c r="Q60" s="959" t="s">
        <v>94</v>
      </c>
      <c r="R60" s="959" t="s">
        <v>94</v>
      </c>
      <c r="S60" s="959"/>
      <c r="T60" s="845" t="s">
        <v>637</v>
      </c>
      <c r="U60" s="845" t="s">
        <v>637</v>
      </c>
      <c r="V60" s="845" t="s">
        <v>637</v>
      </c>
      <c r="W60" s="845" t="s">
        <v>637</v>
      </c>
      <c r="X60" s="845"/>
      <c r="Y60" s="1002"/>
      <c r="Z60" s="848" t="s">
        <v>2175</v>
      </c>
      <c r="AA60" s="851" t="s">
        <v>2176</v>
      </c>
      <c r="AB60" s="848" t="s">
        <v>2177</v>
      </c>
      <c r="AC60" s="848" t="s">
        <v>2176</v>
      </c>
      <c r="AD60" s="848"/>
    </row>
    <row customHeight="1" ht="9">
      <c r="A61" s="847"/>
      <c r="B61" s="901">
        <v>44</v>
      </c>
      <c r="C61" s="845"/>
      <c r="D61" s="969" t="s">
        <v>2178</v>
      </c>
      <c r="E61" s="845"/>
      <c r="F61" s="845"/>
      <c r="G61" s="845"/>
      <c r="H61" s="893"/>
      <c r="I61" s="1007">
        <f>INDEX(TEMPLATE_NUMBER_POINT_FHD,B61,MATCH(TEMPLATE_SPHERE,TEMPLATE_SPHERE_LIST_FOR_NOTE,0))</f>
        <v>0</v>
      </c>
      <c r="J61" s="1007">
        <f>INDEX(TEMPLATE_DATA_POINT_FHD,B61,MATCH(TEMPLATE_SPHERE,TEMPLATE_SPHERE_LIST_FOR_NOTE,0))</f>
        <v>0</v>
      </c>
      <c r="K61" s="1007">
        <f>INDEX(TEMPLATE_NOTE_POINT_FHD,B61,MATCH(TEMPLATE_SPHERE,TEMPLATE_SPHERE_LIST_FOR_NOTE,0))</f>
        <v>0</v>
      </c>
      <c r="L61" s="846" t="str">
        <f>IF(I61=0,"",I61)</f>
        <v/>
      </c>
      <c r="M61" s="846" t="str">
        <f>IF(J61=0,"",J61)</f>
        <v/>
      </c>
      <c r="N61" s="846" t="str">
        <f>IF(K61=0,"",K61)</f>
        <v/>
      </c>
      <c r="O61" s="959"/>
      <c r="P61" s="959" t="s">
        <v>95</v>
      </c>
      <c r="Q61" s="959"/>
      <c r="R61" s="959"/>
      <c r="S61" s="959"/>
      <c r="T61" s="845"/>
      <c r="U61" s="845" t="s">
        <v>2179</v>
      </c>
      <c r="V61" s="845"/>
      <c r="W61" s="845"/>
      <c r="X61" s="845"/>
      <c r="Y61" s="1002"/>
      <c r="Z61" s="848"/>
      <c r="AA61" s="851"/>
      <c r="AB61" s="848"/>
      <c r="AC61" s="848"/>
      <c r="AD61" s="848"/>
    </row>
    <row customHeight="1" ht="9">
      <c r="A62" s="847"/>
      <c r="B62" s="901">
        <v>45</v>
      </c>
      <c r="C62" s="845"/>
      <c r="D62" s="969" t="s">
        <v>2180</v>
      </c>
      <c r="E62" s="845"/>
      <c r="F62" s="845"/>
      <c r="G62" s="845"/>
      <c r="H62" s="893"/>
      <c r="I62" s="1007">
        <f>INDEX(TEMPLATE_NUMBER_POINT_FHD,B62,MATCH(TEMPLATE_SPHERE,TEMPLATE_SPHERE_LIST_FOR_NOTE,0))</f>
        <v>0</v>
      </c>
      <c r="J62" s="1007">
        <f>INDEX(TEMPLATE_DATA_POINT_FHD,B62,MATCH(TEMPLATE_SPHERE,TEMPLATE_SPHERE_LIST_FOR_NOTE,0))</f>
        <v>0</v>
      </c>
      <c r="K62" s="1007">
        <f>INDEX(TEMPLATE_NOTE_POINT_FHD,B62,MATCH(TEMPLATE_SPHERE,TEMPLATE_SPHERE_LIST_FOR_NOTE,0))</f>
        <v>0</v>
      </c>
      <c r="L62" s="846" t="str">
        <f>IF(I62=0,"",I62)</f>
        <v/>
      </c>
      <c r="M62" s="846" t="str">
        <f>IF(J62=0,"",J62)</f>
        <v/>
      </c>
      <c r="N62" s="846" t="str">
        <f>IF(K62=0,"",K62)</f>
        <v/>
      </c>
      <c r="O62" s="959"/>
      <c r="P62" s="959" t="s">
        <v>114</v>
      </c>
      <c r="Q62" s="959"/>
      <c r="R62" s="959"/>
      <c r="S62" s="959"/>
      <c r="T62" s="845"/>
      <c r="U62" s="845" t="s">
        <v>2181</v>
      </c>
      <c r="V62" s="845"/>
      <c r="W62" s="845"/>
      <c r="X62" s="845"/>
      <c r="Y62" s="1002"/>
      <c r="Z62" s="848"/>
      <c r="AA62" s="851"/>
      <c r="AB62" s="848"/>
      <c r="AC62" s="848"/>
      <c r="AD62" s="848"/>
    </row>
    <row customHeight="1" ht="18">
      <c r="A63" s="847"/>
      <c r="B63" s="901">
        <v>46</v>
      </c>
      <c r="C63" s="845"/>
      <c r="D63" s="969" t="s">
        <v>2182</v>
      </c>
      <c r="E63" s="845"/>
      <c r="F63" s="845"/>
      <c r="G63" s="845"/>
      <c r="H63" s="893"/>
      <c r="I63" s="1007">
        <f>INDEX(TEMPLATE_NUMBER_POINT_FHD,B63,MATCH(TEMPLATE_SPHERE,TEMPLATE_SPHERE_LIST_FOR_NOTE,0))</f>
        <v>0</v>
      </c>
      <c r="J63" s="1007">
        <f>INDEX(TEMPLATE_DATA_POINT_FHD,B63,MATCH(TEMPLATE_SPHERE,TEMPLATE_SPHERE_LIST_FOR_NOTE,0))</f>
        <v>0</v>
      </c>
      <c r="K63" s="1007">
        <f>INDEX(TEMPLATE_NOTE_POINT_FHD,B63,MATCH(TEMPLATE_SPHERE,TEMPLATE_SPHERE_LIST_FOR_NOTE,0))</f>
        <v>0</v>
      </c>
      <c r="L63" s="846" t="str">
        <f>IF(I63=0,"",I63)</f>
        <v/>
      </c>
      <c r="M63" s="846" t="str">
        <f>IF(J63=0,"",J63)</f>
        <v/>
      </c>
      <c r="N63" s="846" t="str">
        <f>IF(K63=0,"",K63)</f>
        <v/>
      </c>
      <c r="O63" s="959"/>
      <c r="P63" s="959" t="s">
        <v>150</v>
      </c>
      <c r="Q63" s="959"/>
      <c r="R63" s="959"/>
      <c r="S63" s="959"/>
      <c r="T63" s="845"/>
      <c r="U63" s="845" t="s">
        <v>2183</v>
      </c>
      <c r="V63" s="845"/>
      <c r="W63" s="845"/>
      <c r="X63" s="845"/>
      <c r="Y63" s="1002"/>
      <c r="Z63" s="848"/>
      <c r="AA63" s="851"/>
      <c r="AB63" s="848"/>
      <c r="AC63" s="848"/>
      <c r="AD63" s="848"/>
    </row>
    <row customHeight="1" ht="18">
      <c r="A64" s="847"/>
      <c r="B64" s="901">
        <v>47</v>
      </c>
      <c r="C64" s="845"/>
      <c r="D64" s="969" t="s">
        <v>2184</v>
      </c>
      <c r="E64" s="845"/>
      <c r="F64" s="845"/>
      <c r="G64" s="845"/>
      <c r="H64" s="893"/>
      <c r="I64" s="1007">
        <f>INDEX(TEMPLATE_NUMBER_POINT_FHD,B64,MATCH(TEMPLATE_SPHERE,TEMPLATE_SPHERE_LIST_FOR_NOTE,0))</f>
        <v>0</v>
      </c>
      <c r="J64" s="1007">
        <f>INDEX(TEMPLATE_DATA_POINT_FHD,B64,MATCH(TEMPLATE_SPHERE,TEMPLATE_SPHERE_LIST_FOR_NOTE,0))</f>
        <v>0</v>
      </c>
      <c r="K64" s="1007">
        <f>INDEX(TEMPLATE_NOTE_POINT_FHD,B64,MATCH(TEMPLATE_SPHERE,TEMPLATE_SPHERE_LIST_FOR_NOTE,0))</f>
        <v>0</v>
      </c>
      <c r="L64" s="846" t="str">
        <f>IF(I64=0,"",I64)</f>
        <v/>
      </c>
      <c r="M64" s="846" t="str">
        <f>IF(J64=0,"",J64)</f>
        <v/>
      </c>
      <c r="N64" s="846" t="str">
        <f>IF(K64=0,"",K64)</f>
        <v/>
      </c>
      <c r="O64" s="959"/>
      <c r="P64" s="959" t="s">
        <v>151</v>
      </c>
      <c r="Q64" s="959"/>
      <c r="R64" s="959"/>
      <c r="S64" s="959"/>
      <c r="T64" s="845"/>
      <c r="U64" s="845" t="s">
        <v>2185</v>
      </c>
      <c r="V64" s="845"/>
      <c r="W64" s="845"/>
      <c r="X64" s="845"/>
      <c r="Y64" s="1002"/>
      <c r="Z64" s="848"/>
      <c r="AA64" s="851" t="s">
        <v>2186</v>
      </c>
      <c r="AB64" s="848"/>
      <c r="AC64" s="848"/>
      <c r="AD64" s="848"/>
    </row>
    <row customHeight="1" ht="18">
      <c r="A65" s="847"/>
      <c r="B65" s="901">
        <v>48</v>
      </c>
      <c r="C65" s="845"/>
      <c r="D65" s="969"/>
      <c r="E65" s="845"/>
      <c r="F65" s="845"/>
      <c r="G65" s="845"/>
      <c r="H65" s="893"/>
      <c r="I65" s="1007">
        <f>INDEX(TEMPLATE_NUMBER_POINT_FHD,B65,MATCH(TEMPLATE_SPHERE,TEMPLATE_SPHERE_LIST_FOR_NOTE,0))</f>
        <v>0</v>
      </c>
      <c r="J65" s="1007">
        <f>INDEX(TEMPLATE_DATA_POINT_FHD,B65,MATCH(TEMPLATE_SPHERE,TEMPLATE_SPHERE_LIST_FOR_NOTE,0))</f>
        <v>0</v>
      </c>
      <c r="K65" s="1007">
        <f>INDEX(TEMPLATE_NOTE_POINT_FHD,B65,MATCH(TEMPLATE_SPHERE,TEMPLATE_SPHERE_LIST_FOR_NOTE,0))</f>
        <v>0</v>
      </c>
      <c r="L65" s="846" t="str">
        <f>IF(I65=0,"",I65)</f>
        <v/>
      </c>
      <c r="M65" s="846" t="str">
        <f>IF(J65=0,"",J65)</f>
        <v/>
      </c>
      <c r="N65" s="846" t="str">
        <f>IF(K65=0,"",K65)</f>
        <v/>
      </c>
      <c r="O65" s="959"/>
      <c r="P65" s="959" t="s">
        <v>2099</v>
      </c>
      <c r="Q65" s="959"/>
      <c r="R65" s="959"/>
      <c r="S65" s="959"/>
      <c r="T65" s="845"/>
      <c r="U65" s="845" t="s">
        <v>2187</v>
      </c>
      <c r="V65" s="845"/>
      <c r="W65" s="845"/>
      <c r="X65" s="845"/>
      <c r="Y65" s="1002"/>
      <c r="Z65" s="848"/>
      <c r="AA65" s="851"/>
      <c r="AB65" s="848"/>
      <c r="AC65" s="848"/>
      <c r="AD65" s="848"/>
    </row>
    <row customHeight="1" ht="18">
      <c r="A66" s="847"/>
      <c r="B66" s="901">
        <v>49</v>
      </c>
      <c r="C66" s="845"/>
      <c r="D66" s="969"/>
      <c r="E66" s="845"/>
      <c r="F66" s="845"/>
      <c r="G66" s="845"/>
      <c r="H66" s="893"/>
      <c r="I66" s="1007">
        <f>INDEX(TEMPLATE_NUMBER_POINT_FHD,B66,MATCH(TEMPLATE_SPHERE,TEMPLATE_SPHERE_LIST_FOR_NOTE,0))</f>
        <v>0</v>
      </c>
      <c r="J66" s="1007">
        <f>INDEX(TEMPLATE_DATA_POINT_FHD,B66,MATCH(TEMPLATE_SPHERE,TEMPLATE_SPHERE_LIST_FOR_NOTE,0))</f>
        <v>0</v>
      </c>
      <c r="K66" s="1007">
        <f>INDEX(TEMPLATE_NOTE_POINT_FHD,B66,MATCH(TEMPLATE_SPHERE,TEMPLATE_SPHERE_LIST_FOR_NOTE,0))</f>
        <v>0</v>
      </c>
      <c r="L66" s="846" t="str">
        <f>IF(I66=0,"",I66)</f>
        <v/>
      </c>
      <c r="M66" s="846" t="str">
        <f>IF(J66=0,"",J66)</f>
        <v/>
      </c>
      <c r="N66" s="846" t="str">
        <f>IF(K66=0,"",K66)</f>
        <v/>
      </c>
      <c r="O66" s="959"/>
      <c r="P66" s="959" t="s">
        <v>2103</v>
      </c>
      <c r="Q66" s="959"/>
      <c r="R66" s="959"/>
      <c r="S66" s="959"/>
      <c r="T66" s="845"/>
      <c r="U66" s="845" t="s">
        <v>2188</v>
      </c>
      <c r="V66" s="845"/>
      <c r="W66" s="845"/>
      <c r="X66" s="845"/>
      <c r="Y66" s="1002"/>
      <c r="Z66" s="848"/>
      <c r="AA66" s="851"/>
      <c r="AB66" s="848"/>
      <c r="AC66" s="848"/>
      <c r="AD66" s="848"/>
    </row>
    <row customHeight="1" ht="27">
      <c r="A67" s="847"/>
      <c r="B67" s="901">
        <v>50</v>
      </c>
      <c r="C67" s="845"/>
      <c r="D67" s="969"/>
      <c r="E67" s="845"/>
      <c r="F67" s="845"/>
      <c r="G67" s="845"/>
      <c r="H67" s="893"/>
      <c r="I67" s="1007">
        <f>INDEX(TEMPLATE_NUMBER_POINT_FHD,B67,MATCH(TEMPLATE_SPHERE,TEMPLATE_SPHERE_LIST_FOR_NOTE,0))</f>
        <v>0</v>
      </c>
      <c r="J67" s="1007">
        <f>INDEX(TEMPLATE_DATA_POINT_FHD,B67,MATCH(TEMPLATE_SPHERE,TEMPLATE_SPHERE_LIST_FOR_NOTE,0))</f>
        <v>0</v>
      </c>
      <c r="K67" s="1007">
        <f>INDEX(TEMPLATE_NOTE_POINT_FHD,B67,MATCH(TEMPLATE_SPHERE,TEMPLATE_SPHERE_LIST_FOR_NOTE,0))</f>
        <v>0</v>
      </c>
      <c r="L67" s="846" t="str">
        <f>IF(I67=0,"",I67)</f>
        <v/>
      </c>
      <c r="M67" s="846" t="str">
        <f>IF(J67=0,"",J67)</f>
        <v/>
      </c>
      <c r="N67" s="846" t="str">
        <f>IF(K67=0,"",K67)</f>
        <v/>
      </c>
      <c r="O67" s="959"/>
      <c r="P67" s="959" t="s">
        <v>2189</v>
      </c>
      <c r="Q67" s="959"/>
      <c r="R67" s="959"/>
      <c r="S67" s="959"/>
      <c r="T67" s="845"/>
      <c r="U67" s="845" t="s">
        <v>2190</v>
      </c>
      <c r="V67" s="845"/>
      <c r="W67" s="845"/>
      <c r="X67" s="845"/>
      <c r="Y67" s="1002"/>
      <c r="Z67" s="848"/>
      <c r="AA67" s="851"/>
      <c r="AB67" s="848"/>
      <c r="AC67" s="848"/>
      <c r="AD67" s="848"/>
    </row>
    <row customHeight="1" ht="27">
      <c r="A68" s="847"/>
      <c r="B68" s="901">
        <v>51</v>
      </c>
      <c r="C68" s="845"/>
      <c r="D68" s="969"/>
      <c r="E68" s="845"/>
      <c r="F68" s="845"/>
      <c r="G68" s="845"/>
      <c r="H68" s="893"/>
      <c r="I68" s="1007">
        <f>INDEX(TEMPLATE_NUMBER_POINT_FHD,B68,MATCH(TEMPLATE_SPHERE,TEMPLATE_SPHERE_LIST_FOR_NOTE,0))</f>
        <v>0</v>
      </c>
      <c r="J68" s="1007">
        <f>INDEX(TEMPLATE_DATA_POINT_FHD,B68,MATCH(TEMPLATE_SPHERE,TEMPLATE_SPHERE_LIST_FOR_NOTE,0))</f>
        <v>0</v>
      </c>
      <c r="K68" s="1007">
        <f>INDEX(TEMPLATE_NOTE_POINT_FHD,B68,MATCH(TEMPLATE_SPHERE,TEMPLATE_SPHERE_LIST_FOR_NOTE,0))</f>
        <v>0</v>
      </c>
      <c r="L68" s="846" t="str">
        <f>IF(I68=0,"",I68)</f>
        <v/>
      </c>
      <c r="M68" s="846" t="str">
        <f>IF(J68=0,"",J68)</f>
        <v/>
      </c>
      <c r="N68" s="846" t="str">
        <f>IF(K68=0,"",K68)</f>
        <v/>
      </c>
      <c r="O68" s="959"/>
      <c r="P68" s="959" t="s">
        <v>2191</v>
      </c>
      <c r="Q68" s="959"/>
      <c r="R68" s="959"/>
      <c r="S68" s="959"/>
      <c r="T68" s="845"/>
      <c r="U68" s="845" t="s">
        <v>2192</v>
      </c>
      <c r="V68" s="845"/>
      <c r="W68" s="845"/>
      <c r="X68" s="845"/>
      <c r="Y68" s="1002"/>
      <c r="Z68" s="848"/>
      <c r="AA68" s="851"/>
      <c r="AB68" s="848"/>
      <c r="AC68" s="848"/>
      <c r="AD68" s="848"/>
    </row>
    <row customHeight="1" ht="9">
      <c r="A69" s="847"/>
      <c r="B69" s="901">
        <v>52</v>
      </c>
      <c r="C69" s="845"/>
      <c r="D69" s="969" t="s">
        <v>2193</v>
      </c>
      <c r="E69" s="845"/>
      <c r="F69" s="845"/>
      <c r="G69" s="845"/>
      <c r="H69" s="893"/>
      <c r="I69" s="1007">
        <f>INDEX(TEMPLATE_NUMBER_POINT_FHD,B69,MATCH(TEMPLATE_SPHERE,TEMPLATE_SPHERE_LIST_FOR_NOTE,0))</f>
        <v>0</v>
      </c>
      <c r="J69" s="1007">
        <f>INDEX(TEMPLATE_DATA_POINT_FHD,B69,MATCH(TEMPLATE_SPHERE,TEMPLATE_SPHERE_LIST_FOR_NOTE,0))</f>
        <v>0</v>
      </c>
      <c r="K69" s="1007">
        <f>INDEX(TEMPLATE_NOTE_POINT_FHD,B69,MATCH(TEMPLATE_SPHERE,TEMPLATE_SPHERE_LIST_FOR_NOTE,0))</f>
        <v>0</v>
      </c>
      <c r="L69" s="846" t="str">
        <f>IF(I69=0,"",I69)</f>
        <v/>
      </c>
      <c r="M69" s="846" t="str">
        <f>IF(J69=0,"",J69)</f>
        <v/>
      </c>
      <c r="N69" s="846" t="str">
        <f>IF(K69=0,"",K69)</f>
        <v/>
      </c>
      <c r="O69" s="959"/>
      <c r="P69" s="959" t="s">
        <v>152</v>
      </c>
      <c r="Q69" s="959"/>
      <c r="R69" s="959"/>
      <c r="S69" s="959"/>
      <c r="T69" s="845"/>
      <c r="U69" s="845" t="s">
        <v>2194</v>
      </c>
      <c r="V69" s="845"/>
      <c r="W69" s="845"/>
      <c r="X69" s="845"/>
      <c r="Y69" s="1002"/>
      <c r="Z69" s="848"/>
      <c r="AA69" s="851"/>
      <c r="AB69" s="848"/>
      <c r="AC69" s="848"/>
      <c r="AD69" s="848"/>
    </row>
    <row customHeight="1" ht="27">
      <c r="A70" s="847"/>
      <c r="B70" s="901">
        <v>53</v>
      </c>
      <c r="C70" s="845"/>
      <c r="D70" s="969"/>
      <c r="E70" s="845" t="s">
        <v>2178</v>
      </c>
      <c r="F70" s="845"/>
      <c r="G70" s="845"/>
      <c r="H70" s="893"/>
      <c r="I70" s="1007">
        <f>INDEX(TEMPLATE_NUMBER_POINT_FHD,B70,MATCH(TEMPLATE_SPHERE,TEMPLATE_SPHERE_LIST_FOR_NOTE,0))</f>
        <v>0</v>
      </c>
      <c r="J70" s="1007">
        <f>INDEX(TEMPLATE_DATA_POINT_FHD,B70,MATCH(TEMPLATE_SPHERE,TEMPLATE_SPHERE_LIST_FOR_NOTE,0))</f>
        <v>0</v>
      </c>
      <c r="K70" s="1007">
        <f>INDEX(TEMPLATE_NOTE_POINT_FHD,B70,MATCH(TEMPLATE_SPHERE,TEMPLATE_SPHERE_LIST_FOR_NOTE,0))</f>
        <v>0</v>
      </c>
      <c r="L70" s="846" t="str">
        <f>IF(I70=0,"",I70)</f>
        <v/>
      </c>
      <c r="M70" s="846" t="str">
        <f>IF(J70=0,"",J70)</f>
        <v/>
      </c>
      <c r="N70" s="846" t="str">
        <f>IF(K70=0,"",K70)</f>
        <v/>
      </c>
      <c r="O70" s="959"/>
      <c r="P70" s="959"/>
      <c r="Q70" s="959" t="s">
        <v>95</v>
      </c>
      <c r="R70" s="959"/>
      <c r="S70" s="959"/>
      <c r="T70" s="845"/>
      <c r="U70" s="845"/>
      <c r="V70" s="845" t="s">
        <v>2195</v>
      </c>
      <c r="W70" s="845"/>
      <c r="X70" s="845"/>
      <c r="Y70" s="1002"/>
      <c r="Z70" s="848"/>
      <c r="AA70" s="851"/>
      <c r="AB70" s="848"/>
      <c r="AC70" s="848"/>
      <c r="AD70" s="848"/>
    </row>
    <row customHeight="1" ht="36">
      <c r="A71" s="847"/>
      <c r="B71" s="901">
        <v>54</v>
      </c>
      <c r="C71" s="845"/>
      <c r="D71" s="969"/>
      <c r="E71" s="845" t="s">
        <v>2180</v>
      </c>
      <c r="F71" s="845"/>
      <c r="G71" s="845"/>
      <c r="H71" s="893"/>
      <c r="I71" s="1007">
        <f>INDEX(TEMPLATE_NUMBER_POINT_FHD,B71,MATCH(TEMPLATE_SPHERE,TEMPLATE_SPHERE_LIST_FOR_NOTE,0))</f>
        <v>0</v>
      </c>
      <c r="J71" s="1007">
        <f>INDEX(TEMPLATE_DATA_POINT_FHD,B71,MATCH(TEMPLATE_SPHERE,TEMPLATE_SPHERE_LIST_FOR_NOTE,0))</f>
        <v>0</v>
      </c>
      <c r="K71" s="1007">
        <f>INDEX(TEMPLATE_NOTE_POINT_FHD,B71,MATCH(TEMPLATE_SPHERE,TEMPLATE_SPHERE_LIST_FOR_NOTE,0))</f>
        <v>0</v>
      </c>
      <c r="L71" s="846" t="str">
        <f>IF(I71=0,"",I71)</f>
        <v/>
      </c>
      <c r="M71" s="846" t="str">
        <f>IF(J71=0,"",J71)</f>
        <v/>
      </c>
      <c r="N71" s="846" t="str">
        <f>IF(K71=0,"",K71)</f>
        <v/>
      </c>
      <c r="O71" s="959"/>
      <c r="P71" s="959"/>
      <c r="Q71" s="959" t="s">
        <v>114</v>
      </c>
      <c r="R71" s="959"/>
      <c r="S71" s="959"/>
      <c r="T71" s="845"/>
      <c r="U71" s="845"/>
      <c r="V71" s="845" t="s">
        <v>2196</v>
      </c>
      <c r="W71" s="845"/>
      <c r="X71" s="845"/>
      <c r="Y71" s="1002"/>
      <c r="Z71" s="848"/>
      <c r="AA71" s="851"/>
      <c r="AB71" s="848"/>
      <c r="AC71" s="848"/>
      <c r="AD71" s="848"/>
    </row>
    <row customHeight="1" ht="27">
      <c r="A72" s="847"/>
      <c r="B72" s="901">
        <v>55</v>
      </c>
      <c r="C72" s="845"/>
      <c r="D72" s="969"/>
      <c r="E72" s="845" t="s">
        <v>2182</v>
      </c>
      <c r="F72" s="845"/>
      <c r="G72" s="845"/>
      <c r="H72" s="893"/>
      <c r="I72" s="1007">
        <f>INDEX(TEMPLATE_NUMBER_POINT_FHD,B72,MATCH(TEMPLATE_SPHERE,TEMPLATE_SPHERE_LIST_FOR_NOTE,0))</f>
        <v>0</v>
      </c>
      <c r="J72" s="1007">
        <f>INDEX(TEMPLATE_DATA_POINT_FHD,B72,MATCH(TEMPLATE_SPHERE,TEMPLATE_SPHERE_LIST_FOR_NOTE,0))</f>
        <v>0</v>
      </c>
      <c r="K72" s="1007">
        <f>INDEX(TEMPLATE_NOTE_POINT_FHD,B72,MATCH(TEMPLATE_SPHERE,TEMPLATE_SPHERE_LIST_FOR_NOTE,0))</f>
        <v>0</v>
      </c>
      <c r="L72" s="846" t="str">
        <f>IF(I72=0,"",I72)</f>
        <v/>
      </c>
      <c r="M72" s="846" t="str">
        <f>IF(J72=0,"",J72)</f>
        <v/>
      </c>
      <c r="N72" s="846" t="str">
        <f>IF(K72=0,"",K72)</f>
        <v/>
      </c>
      <c r="O72" s="959"/>
      <c r="P72" s="959"/>
      <c r="Q72" s="959" t="s">
        <v>150</v>
      </c>
      <c r="R72" s="959"/>
      <c r="S72" s="959"/>
      <c r="T72" s="845"/>
      <c r="U72" s="845"/>
      <c r="V72" s="845" t="s">
        <v>2197</v>
      </c>
      <c r="W72" s="845"/>
      <c r="X72" s="845"/>
      <c r="Y72" s="1002"/>
      <c r="Z72" s="848"/>
      <c r="AA72" s="851"/>
      <c r="AB72" s="848"/>
      <c r="AC72" s="848"/>
      <c r="AD72" s="848"/>
    </row>
    <row customHeight="1" ht="36">
      <c r="A73" s="847"/>
      <c r="B73" s="901">
        <v>56</v>
      </c>
      <c r="C73" s="845"/>
      <c r="D73" s="969"/>
      <c r="E73" s="845" t="s">
        <v>2184</v>
      </c>
      <c r="F73" s="845"/>
      <c r="G73" s="845"/>
      <c r="H73" s="893"/>
      <c r="I73" s="1007">
        <f>INDEX(TEMPLATE_NUMBER_POINT_FHD,B73,MATCH(TEMPLATE_SPHERE,TEMPLATE_SPHERE_LIST_FOR_NOTE,0))</f>
        <v>0</v>
      </c>
      <c r="J73" s="1007">
        <f>INDEX(TEMPLATE_DATA_POINT_FHD,B73,MATCH(TEMPLATE_SPHERE,TEMPLATE_SPHERE_LIST_FOR_NOTE,0))</f>
        <v>0</v>
      </c>
      <c r="K73" s="1007">
        <f>INDEX(TEMPLATE_NOTE_POINT_FHD,B73,MATCH(TEMPLATE_SPHERE,TEMPLATE_SPHERE_LIST_FOR_NOTE,0))</f>
        <v>0</v>
      </c>
      <c r="L73" s="846" t="str">
        <f>IF(I73=0,"",I73)</f>
        <v/>
      </c>
      <c r="M73" s="846" t="str">
        <f>IF(J73=0,"",J73)</f>
        <v/>
      </c>
      <c r="N73" s="846" t="str">
        <f>IF(K73=0,"",K73)</f>
        <v/>
      </c>
      <c r="O73" s="959"/>
      <c r="P73" s="959"/>
      <c r="Q73" s="959" t="s">
        <v>151</v>
      </c>
      <c r="R73" s="959"/>
      <c r="S73" s="959"/>
      <c r="T73" s="845"/>
      <c r="U73" s="845"/>
      <c r="V73" s="845" t="s">
        <v>2198</v>
      </c>
      <c r="W73" s="845"/>
      <c r="X73" s="845"/>
      <c r="Y73" s="1002"/>
      <c r="Z73" s="848"/>
      <c r="AA73" s="851"/>
      <c r="AB73" s="848"/>
      <c r="AC73" s="848"/>
      <c r="AD73" s="848"/>
    </row>
    <row customHeight="1" ht="18">
      <c r="A74" s="847"/>
      <c r="B74" s="901">
        <v>57</v>
      </c>
      <c r="C74" s="845"/>
      <c r="D74" s="969"/>
      <c r="E74" s="845" t="s">
        <v>2193</v>
      </c>
      <c r="F74" s="845"/>
      <c r="G74" s="845"/>
      <c r="H74" s="893"/>
      <c r="I74" s="1007">
        <f>INDEX(TEMPLATE_NUMBER_POINT_FHD,B74,MATCH(TEMPLATE_SPHERE,TEMPLATE_SPHERE_LIST_FOR_NOTE,0))</f>
        <v>0</v>
      </c>
      <c r="J74" s="1007">
        <f>INDEX(TEMPLATE_DATA_POINT_FHD,B74,MATCH(TEMPLATE_SPHERE,TEMPLATE_SPHERE_LIST_FOR_NOTE,0))</f>
        <v>0</v>
      </c>
      <c r="K74" s="1007">
        <f>INDEX(TEMPLATE_NOTE_POINT_FHD,B74,MATCH(TEMPLATE_SPHERE,TEMPLATE_SPHERE_LIST_FOR_NOTE,0))</f>
        <v>0</v>
      </c>
      <c r="L74" s="846" t="str">
        <f>IF(I74=0,"",I74)</f>
        <v/>
      </c>
      <c r="M74" s="846" t="str">
        <f>IF(J74=0,"",J74)</f>
        <v/>
      </c>
      <c r="N74" s="846" t="str">
        <f>IF(K74=0,"",K74)</f>
        <v/>
      </c>
      <c r="O74" s="959"/>
      <c r="P74" s="959"/>
      <c r="Q74" s="959" t="s">
        <v>152</v>
      </c>
      <c r="R74" s="959"/>
      <c r="S74" s="959"/>
      <c r="T74" s="845"/>
      <c r="U74" s="845"/>
      <c r="V74" s="845" t="s">
        <v>2199</v>
      </c>
      <c r="W74" s="845"/>
      <c r="X74" s="845"/>
      <c r="Y74" s="1002"/>
      <c r="Z74" s="848"/>
      <c r="AA74" s="851"/>
      <c r="AB74" s="848"/>
      <c r="AC74" s="848"/>
      <c r="AD74" s="848"/>
    </row>
    <row customHeight="1" ht="18">
      <c r="A75" s="847"/>
      <c r="B75" s="901">
        <v>58</v>
      </c>
      <c r="C75" s="845"/>
      <c r="D75" s="969"/>
      <c r="E75" s="845"/>
      <c r="F75" s="845" t="s">
        <v>2178</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95</v>
      </c>
      <c r="S75" s="959"/>
      <c r="T75" s="845"/>
      <c r="U75" s="845"/>
      <c r="V75" s="845"/>
      <c r="W75" s="845" t="s">
        <v>2200</v>
      </c>
      <c r="X75" s="845"/>
      <c r="Y75" s="1002"/>
      <c r="Z75" s="848"/>
      <c r="AA75" s="851"/>
      <c r="AB75" s="848"/>
      <c r="AC75" s="848"/>
      <c r="AD75" s="848"/>
    </row>
    <row customHeight="1" ht="36">
      <c r="A76" s="847"/>
      <c r="B76" s="901">
        <v>59</v>
      </c>
      <c r="C76" s="845"/>
      <c r="D76" s="969"/>
      <c r="E76" s="845"/>
      <c r="F76" s="845" t="s">
        <v>2180</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114</v>
      </c>
      <c r="S76" s="959"/>
      <c r="T76" s="845"/>
      <c r="U76" s="845"/>
      <c r="V76" s="845"/>
      <c r="W76" s="845" t="s">
        <v>2201</v>
      </c>
      <c r="X76" s="845"/>
      <c r="Y76" s="1002"/>
      <c r="Z76" s="848"/>
      <c r="AA76" s="851"/>
      <c r="AB76" s="848"/>
      <c r="AC76" s="848"/>
      <c r="AD76" s="848"/>
    </row>
    <row customHeight="1" ht="18">
      <c r="A77" s="847"/>
      <c r="B77" s="901">
        <v>60</v>
      </c>
      <c r="C77" s="845"/>
      <c r="D77" s="969"/>
      <c r="E77" s="845"/>
      <c r="F77" s="845" t="s">
        <v>2182</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150</v>
      </c>
      <c r="S77" s="959"/>
      <c r="T77" s="845"/>
      <c r="U77" s="845"/>
      <c r="V77" s="845"/>
      <c r="W77" s="845" t="s">
        <v>2202</v>
      </c>
      <c r="X77" s="845"/>
      <c r="Y77" s="1002"/>
      <c r="Z77" s="848"/>
      <c r="AA77" s="851"/>
      <c r="AB77" s="848"/>
      <c r="AC77" s="848"/>
      <c r="AD77" s="848"/>
    </row>
    <row customHeight="1" ht="72">
      <c r="A78" s="847"/>
      <c r="B78" s="901">
        <v>61</v>
      </c>
      <c r="C78" s="845" t="s">
        <v>2178</v>
      </c>
      <c r="D78" s="969"/>
      <c r="E78" s="845"/>
      <c r="F78" s="845"/>
      <c r="G78" s="845"/>
      <c r="H78" s="893"/>
      <c r="I78" s="1007" t="str">
        <f>INDEX(TEMPLATE_NUMBER_POINT_FHD,B78,MATCH(TEMPLATE_SPHERE,TEMPLATE_SPHERE_LIST_FOR_NOTE,0))</f>
        <v>7</v>
      </c>
      <c r="J78" s="1007"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7"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6" t="str">
        <f>IF(I78=0,"",I78)</f>
        <v>7</v>
      </c>
      <c r="M78" s="846"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6"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9" t="s">
        <v>95</v>
      </c>
      <c r="P78" s="959"/>
      <c r="Q78" s="959"/>
      <c r="R78" s="959"/>
      <c r="S78" s="959"/>
      <c r="T78" s="845" t="s">
        <v>642</v>
      </c>
      <c r="U78" s="845"/>
      <c r="V78" s="845"/>
      <c r="W78" s="845"/>
      <c r="X78" s="845"/>
      <c r="Y78" s="1002"/>
      <c r="Z78" s="848" t="s">
        <v>2203</v>
      </c>
      <c r="AA78" s="851"/>
      <c r="AB78" s="848"/>
      <c r="AC78" s="848"/>
      <c r="AD78" s="848"/>
    </row>
    <row customHeight="1" ht="36">
      <c r="A79" s="847"/>
      <c r="B79" s="901">
        <v>62</v>
      </c>
      <c r="C79" s="845" t="s">
        <v>2180</v>
      </c>
      <c r="D79" s="969"/>
      <c r="E79" s="845"/>
      <c r="F79" s="845"/>
      <c r="G79" s="845"/>
      <c r="H79" s="893"/>
      <c r="I79" s="1007" t="str">
        <f>INDEX(TEMPLATE_NUMBER_POINT_FHD,B79,MATCH(TEMPLATE_SPHERE,TEMPLATE_SPHERE_LIST_FOR_NOTE,0))</f>
        <v>8</v>
      </c>
      <c r="J79" s="1007"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7"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6" t="str">
        <f>IF(I79=0,"",I79)</f>
        <v>8</v>
      </c>
      <c r="M79" s="846" t="str">
        <f>IF(J79=0,"",J79)</f>
        <v>Тепловая нагрузка по договорам, заключенным в рамках осуществления регулируемых видов деятельности</v>
      </c>
      <c r="N79" s="846"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9" t="s">
        <v>114</v>
      </c>
      <c r="P79" s="959"/>
      <c r="Q79" s="959"/>
      <c r="R79" s="959"/>
      <c r="S79" s="959"/>
      <c r="T79" s="845" t="s">
        <v>2204</v>
      </c>
      <c r="U79" s="845"/>
      <c r="V79" s="845"/>
      <c r="W79" s="845"/>
      <c r="X79" s="845"/>
      <c r="Y79" s="1002"/>
      <c r="Z79" s="848" t="s">
        <v>2205</v>
      </c>
      <c r="AA79" s="851"/>
      <c r="AB79" s="848"/>
      <c r="AC79" s="848"/>
      <c r="AD79" s="848"/>
    </row>
    <row customHeight="1" ht="45">
      <c r="A80" s="847"/>
      <c r="B80" s="901">
        <v>63</v>
      </c>
      <c r="C80" s="845" t="s">
        <v>2182</v>
      </c>
      <c r="D80" s="969"/>
      <c r="E80" s="845"/>
      <c r="F80" s="845"/>
      <c r="G80" s="845"/>
      <c r="H80" s="893"/>
      <c r="I80" s="1007" t="str">
        <f>INDEX(TEMPLATE_NUMBER_POINT_FHD,B80,MATCH(TEMPLATE_SPHERE,TEMPLATE_SPHERE_LIST_FOR_NOTE,0))</f>
        <v>9</v>
      </c>
      <c r="J80" s="1007"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7"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6" t="str">
        <f>IF(I80=0,"",I80)</f>
        <v>9</v>
      </c>
      <c r="M80" s="846" t="str">
        <f>IF(J80=0,"",J80)</f>
        <v>Объем вырабатываемой регулируемой организацией тепловой энергии в рамках осуществления регулируемых видов деятельности</v>
      </c>
      <c r="N80" s="846"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9" t="s">
        <v>150</v>
      </c>
      <c r="P80" s="959"/>
      <c r="Q80" s="959"/>
      <c r="R80" s="959"/>
      <c r="S80" s="959"/>
      <c r="T80" s="845" t="s">
        <v>2206</v>
      </c>
      <c r="U80" s="845"/>
      <c r="V80" s="845"/>
      <c r="W80" s="845"/>
      <c r="X80" s="845"/>
      <c r="Y80" s="1002"/>
      <c r="Z80" s="848" t="s">
        <v>2207</v>
      </c>
      <c r="AA80" s="851"/>
      <c r="AB80" s="848"/>
      <c r="AC80" s="848"/>
      <c r="AD80" s="848"/>
    </row>
    <row customHeight="1" ht="36">
      <c r="A81" s="847"/>
      <c r="B81" s="901">
        <v>64</v>
      </c>
      <c r="C81" s="845" t="s">
        <v>2184</v>
      </c>
      <c r="D81" s="969"/>
      <c r="E81" s="845"/>
      <c r="F81" s="845"/>
      <c r="G81" s="845"/>
      <c r="H81" s="893"/>
      <c r="I81" s="1007" t="str">
        <f>INDEX(TEMPLATE_NUMBER_POINT_FHD,B81,MATCH(TEMPLATE_SPHERE,TEMPLATE_SPHERE_LIST_FOR_NOTE,0))</f>
        <v>9.1</v>
      </c>
      <c r="J81" s="1007"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7" t="str">
        <f>INDEX(TEMPLATE_NOTE_POINT_FHD,B81,MATCH(TEMPLATE_SPHERE,TEMPLATE_SPHERE_LIST_FOR_NOTE,0))</f>
        <v>Информация указывается только едиными теплоснабжающими организациями.</v>
      </c>
      <c r="L81" s="846" t="str">
        <f>IF(I81=0,"",I81)</f>
        <v>9.1</v>
      </c>
      <c r="M81" s="846" t="str">
        <f>IF(J81=0,"",J81)</f>
        <v>Объем приобретаемой регулируемой организацией тепловой энергии в рамках осуществления регулируемых видов деятельности</v>
      </c>
      <c r="N81" s="846" t="str">
        <f>IF(K81=0,"",K81)</f>
        <v>Информация указывается только едиными теплоснабжающими организациями.</v>
      </c>
      <c r="O81" s="959" t="s">
        <v>2090</v>
      </c>
      <c r="P81" s="959"/>
      <c r="Q81" s="959"/>
      <c r="R81" s="959"/>
      <c r="S81" s="959"/>
      <c r="T81" s="845" t="s">
        <v>2208</v>
      </c>
      <c r="U81" s="845"/>
      <c r="V81" s="845"/>
      <c r="W81" s="845"/>
      <c r="X81" s="845"/>
      <c r="Y81" s="1002"/>
      <c r="Z81" s="848" t="s">
        <v>2209</v>
      </c>
      <c r="AA81" s="851"/>
      <c r="AB81" s="848"/>
      <c r="AC81" s="848"/>
      <c r="AD81" s="848"/>
    </row>
    <row customHeight="1" ht="90">
      <c r="A82" s="847"/>
      <c r="B82" s="901">
        <v>65</v>
      </c>
      <c r="C82" s="845" t="s">
        <v>2193</v>
      </c>
      <c r="D82" s="969"/>
      <c r="E82" s="845"/>
      <c r="F82" s="845"/>
      <c r="G82" s="845"/>
      <c r="H82" s="893"/>
      <c r="I82" s="1007" t="str">
        <f>INDEX(TEMPLATE_NUMBER_POINT_FHD,B82,MATCH(TEMPLATE_SPHERE,TEMPLATE_SPHERE_LIST_FOR_NOTE,0))</f>
        <v>10</v>
      </c>
      <c r="J82" s="1007"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7"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6" t="str">
        <f>IF(I82=0,"",I82)</f>
        <v>10</v>
      </c>
      <c r="M82" s="846"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6"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9" t="s">
        <v>151</v>
      </c>
      <c r="P82" s="959"/>
      <c r="Q82" s="959"/>
      <c r="R82" s="959"/>
      <c r="S82" s="959"/>
      <c r="T82" s="845" t="s">
        <v>2210</v>
      </c>
      <c r="U82" s="845"/>
      <c r="V82" s="845"/>
      <c r="W82" s="845"/>
      <c r="X82" s="845"/>
      <c r="Y82" s="1002"/>
      <c r="Z82" s="848" t="s">
        <v>2211</v>
      </c>
      <c r="AA82" s="851"/>
      <c r="AB82" s="848"/>
      <c r="AC82" s="848"/>
      <c r="AD82" s="848"/>
    </row>
    <row customHeight="1" ht="9">
      <c r="A83" s="847"/>
      <c r="B83" s="901">
        <v>66</v>
      </c>
      <c r="C83" s="845"/>
      <c r="D83" s="969"/>
      <c r="E83" s="845"/>
      <c r="F83" s="845"/>
      <c r="G83" s="845"/>
      <c r="H83" s="893"/>
      <c r="I83" s="1007" t="str">
        <f>INDEX(TEMPLATE_NUMBER_POINT_FHD,B83,MATCH(TEMPLATE_SPHERE,TEMPLATE_SPHERE_LIST_FOR_NOTE,0))</f>
        <v>10.1</v>
      </c>
      <c r="J83" s="1007" t="str">
        <f>INDEX(TEMPLATE_DATA_POINT_FHD,B83,MATCH(TEMPLATE_SPHERE,TEMPLATE_SPHERE_LIST_FOR_NOTE,0))</f>
        <v>По приборам учёта </v>
      </c>
      <c r="K83" s="1007">
        <f>INDEX(TEMPLATE_NOTE_POINT_FHD,B83,MATCH(TEMPLATE_SPHERE,TEMPLATE_SPHERE_LIST_FOR_NOTE,0))</f>
        <v>0</v>
      </c>
      <c r="L83" s="846" t="str">
        <f>IF(I83=0,"",I83)</f>
        <v>10.1</v>
      </c>
      <c r="M83" s="846" t="str">
        <f>IF(J83=0,"",J83)</f>
        <v>По приборам учёта </v>
      </c>
      <c r="N83" s="846" t="str">
        <f>IF(K83=0,"",K83)</f>
        <v/>
      </c>
      <c r="O83" s="959" t="s">
        <v>2099</v>
      </c>
      <c r="P83" s="959"/>
      <c r="Q83" s="959"/>
      <c r="R83" s="959"/>
      <c r="S83" s="959"/>
      <c r="T83" s="845" t="s">
        <v>2212</v>
      </c>
      <c r="U83" s="845"/>
      <c r="V83" s="845"/>
      <c r="W83" s="845"/>
      <c r="X83" s="845"/>
      <c r="Y83" s="1002"/>
      <c r="Z83" s="848"/>
      <c r="AA83" s="851"/>
      <c r="AB83" s="848"/>
      <c r="AC83" s="848"/>
      <c r="AD83" s="848"/>
    </row>
    <row customHeight="1" ht="54">
      <c r="A84" s="847"/>
      <c r="B84" s="901">
        <v>67</v>
      </c>
      <c r="C84" s="845"/>
      <c r="D84" s="969"/>
      <c r="E84" s="845"/>
      <c r="F84" s="845"/>
      <c r="G84" s="845"/>
      <c r="H84" s="893"/>
      <c r="I84" s="1007" t="str">
        <f>INDEX(TEMPLATE_NUMBER_POINT_FHD,B84,MATCH(TEMPLATE_SPHERE,TEMPLATE_SPHERE_LIST_FOR_NOTE,0))</f>
        <v>10.1.1</v>
      </c>
      <c r="J84" s="1007"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7">
        <f>INDEX(TEMPLATE_NOTE_POINT_FHD,B84,MATCH(TEMPLATE_SPHERE,TEMPLATE_SPHERE_LIST_FOR_NOTE,0))</f>
        <v>0</v>
      </c>
      <c r="L84" s="846" t="str">
        <f>IF(I84=0,"",I84)</f>
        <v>10.1.1</v>
      </c>
      <c r="M84" s="846"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6" t="str">
        <f>IF(K84=0,"",K84)</f>
        <v/>
      </c>
      <c r="O84" s="959" t="s">
        <v>2213</v>
      </c>
      <c r="P84" s="959"/>
      <c r="Q84" s="959"/>
      <c r="R84" s="959"/>
      <c r="S84" s="959"/>
      <c r="T84" s="845" t="s">
        <v>2214</v>
      </c>
      <c r="U84" s="845"/>
      <c r="V84" s="845"/>
      <c r="W84" s="845"/>
      <c r="X84" s="845"/>
      <c r="Y84" s="1002"/>
      <c r="Z84" s="848"/>
      <c r="AA84" s="851"/>
      <c r="AB84" s="848"/>
      <c r="AC84" s="848"/>
      <c r="AD84" s="848"/>
    </row>
    <row customHeight="1" ht="9">
      <c r="A85" s="847"/>
      <c r="B85" s="901">
        <v>68</v>
      </c>
      <c r="C85" s="845"/>
      <c r="D85" s="969"/>
      <c r="E85" s="845"/>
      <c r="F85" s="845"/>
      <c r="G85" s="845"/>
      <c r="H85" s="893"/>
      <c r="I85" s="1007" t="str">
        <f>INDEX(TEMPLATE_NUMBER_POINT_FHD,B85,MATCH(TEMPLATE_SPHERE,TEMPLATE_SPHERE_LIST_FOR_NOTE,0))</f>
        <v>10.2</v>
      </c>
      <c r="J85" s="1007" t="str">
        <f>INDEX(TEMPLATE_DATA_POINT_FHD,B85,MATCH(TEMPLATE_SPHERE,TEMPLATE_SPHERE_LIST_FOR_NOTE,0))</f>
        <v>Расчётным путём</v>
      </c>
      <c r="K85" s="1007">
        <f>INDEX(TEMPLATE_NOTE_POINT_FHD,B85,MATCH(TEMPLATE_SPHERE,TEMPLATE_SPHERE_LIST_FOR_NOTE,0))</f>
        <v>0</v>
      </c>
      <c r="L85" s="846" t="str">
        <f>IF(I85=0,"",I85)</f>
        <v>10.2</v>
      </c>
      <c r="M85" s="846" t="str">
        <f>IF(J85=0,"",J85)</f>
        <v>Расчётным путём</v>
      </c>
      <c r="N85" s="846" t="str">
        <f>IF(K85=0,"",K85)</f>
        <v/>
      </c>
      <c r="O85" s="959" t="s">
        <v>2103</v>
      </c>
      <c r="P85" s="959"/>
      <c r="Q85" s="959"/>
      <c r="R85" s="959"/>
      <c r="S85" s="959"/>
      <c r="T85" s="845" t="s">
        <v>2215</v>
      </c>
      <c r="U85" s="845"/>
      <c r="V85" s="845"/>
      <c r="W85" s="845"/>
      <c r="X85" s="845"/>
      <c r="Y85" s="1002"/>
      <c r="Z85" s="848"/>
      <c r="AA85" s="851"/>
      <c r="AB85" s="848"/>
      <c r="AC85" s="848"/>
      <c r="AD85" s="848"/>
    </row>
    <row customHeight="1" ht="27">
      <c r="A86" s="847"/>
      <c r="B86" s="901">
        <v>69</v>
      </c>
      <c r="C86" s="845"/>
      <c r="D86" s="969"/>
      <c r="E86" s="845"/>
      <c r="F86" s="845"/>
      <c r="G86" s="845"/>
      <c r="H86" s="893"/>
      <c r="I86" s="1007" t="str">
        <f>INDEX(TEMPLATE_NUMBER_POINT_FHD,B86,MATCH(TEMPLATE_SPHERE,TEMPLATE_SPHERE_LIST_FOR_NOTE,0))</f>
        <v>10.3</v>
      </c>
      <c r="J86" s="1007" t="str">
        <f>INDEX(TEMPLATE_DATA_POINT_FHD,B86,MATCH(TEMPLATE_SPHERE,TEMPLATE_SPHERE_LIST_FOR_NOTE,0))</f>
        <v>По нормативам потребления коммунальных услуг и нормативам потребления коммунальных ресурсов</v>
      </c>
      <c r="K86" s="1007">
        <f>INDEX(TEMPLATE_NOTE_POINT_FHD,B86,MATCH(TEMPLATE_SPHERE,TEMPLATE_SPHERE_LIST_FOR_NOTE,0))</f>
        <v>0</v>
      </c>
      <c r="L86" s="846" t="str">
        <f>IF(I86=0,"",I86)</f>
        <v>10.3</v>
      </c>
      <c r="M86" s="846" t="str">
        <f>IF(J86=0,"",J86)</f>
        <v>По нормативам потребления коммунальных услуг и нормативам потребления коммунальных ресурсов</v>
      </c>
      <c r="N86" s="846" t="str">
        <f>IF(K86=0,"",K86)</f>
        <v/>
      </c>
      <c r="O86" s="959" t="s">
        <v>2216</v>
      </c>
      <c r="P86" s="959"/>
      <c r="Q86" s="959"/>
      <c r="R86" s="959"/>
      <c r="S86" s="959"/>
      <c r="T86" s="845" t="s">
        <v>2217</v>
      </c>
      <c r="U86" s="845"/>
      <c r="V86" s="845"/>
      <c r="W86" s="845"/>
      <c r="X86" s="845"/>
      <c r="Y86" s="1002"/>
      <c r="Z86" s="848"/>
      <c r="AA86" s="851"/>
      <c r="AB86" s="848"/>
      <c r="AC86" s="848"/>
      <c r="AD86" s="848"/>
    </row>
    <row customHeight="1" ht="36">
      <c r="A87" s="847"/>
      <c r="B87" s="901">
        <v>70</v>
      </c>
      <c r="C87" s="845" t="s">
        <v>2218</v>
      </c>
      <c r="D87" s="969"/>
      <c r="E87" s="845"/>
      <c r="F87" s="845"/>
      <c r="G87" s="845"/>
      <c r="H87" s="893"/>
      <c r="I87" s="1007" t="str">
        <f>INDEX(TEMPLATE_NUMBER_POINT_FHD,B87,MATCH(TEMPLATE_SPHERE,TEMPLATE_SPHERE_LIST_FOR_NOTE,0))</f>
        <v>11</v>
      </c>
      <c r="J87" s="1007"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7">
        <f>INDEX(TEMPLATE_NOTE_POINT_FHD,B87,MATCH(TEMPLATE_SPHERE,TEMPLATE_SPHERE_LIST_FOR_NOTE,0))</f>
        <v>0</v>
      </c>
      <c r="L87" s="846" t="str">
        <f>IF(I87=0,"",I87)</f>
        <v>11</v>
      </c>
      <c r="M87" s="846"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6" t="str">
        <f>IF(K87=0,"",K87)</f>
        <v/>
      </c>
      <c r="O87" s="959" t="s">
        <v>152</v>
      </c>
      <c r="P87" s="959"/>
      <c r="Q87" s="959"/>
      <c r="R87" s="959"/>
      <c r="S87" s="959"/>
      <c r="T87" s="845" t="s">
        <v>2219</v>
      </c>
      <c r="U87" s="845"/>
      <c r="V87" s="845"/>
      <c r="W87" s="845"/>
      <c r="X87" s="845"/>
      <c r="Y87" s="1002"/>
      <c r="Z87" s="848"/>
      <c r="AA87" s="851"/>
      <c r="AB87" s="848"/>
      <c r="AC87" s="848"/>
      <c r="AD87" s="848"/>
    </row>
    <row customHeight="1" ht="18">
      <c r="A88" s="847"/>
      <c r="B88" s="901">
        <v>71</v>
      </c>
      <c r="C88" s="845" t="s">
        <v>2220</v>
      </c>
      <c r="D88" s="969"/>
      <c r="E88" s="845"/>
      <c r="F88" s="845"/>
      <c r="G88" s="845"/>
      <c r="H88" s="893"/>
      <c r="I88" s="1007" t="str">
        <f>INDEX(TEMPLATE_NUMBER_POINT_FHD,B88,MATCH(TEMPLATE_SPHERE,TEMPLATE_SPHERE_LIST_FOR_NOTE,0))</f>
        <v>12</v>
      </c>
      <c r="J88" s="1007" t="str">
        <f>INDEX(TEMPLATE_DATA_POINT_FHD,B88,MATCH(TEMPLATE_SPHERE,TEMPLATE_SPHERE_LIST_FOR_NOTE,0))</f>
        <v>Фактический объем потерь при передаче тепловой энергии</v>
      </c>
      <c r="K88" s="1007">
        <f>INDEX(TEMPLATE_NOTE_POINT_FHD,B88,MATCH(TEMPLATE_SPHERE,TEMPLATE_SPHERE_LIST_FOR_NOTE,0))</f>
        <v>0</v>
      </c>
      <c r="L88" s="846" t="str">
        <f>IF(I88=0,"",I88)</f>
        <v>12</v>
      </c>
      <c r="M88" s="846" t="str">
        <f>IF(J88=0,"",J88)</f>
        <v>Фактический объем потерь при передаче тепловой энергии</v>
      </c>
      <c r="N88" s="846" t="str">
        <f>IF(K88=0,"",K88)</f>
        <v/>
      </c>
      <c r="O88" s="959" t="s">
        <v>153</v>
      </c>
      <c r="P88" s="959"/>
      <c r="Q88" s="959"/>
      <c r="R88" s="959"/>
      <c r="S88" s="959"/>
      <c r="T88" s="845" t="s">
        <v>674</v>
      </c>
      <c r="U88" s="845"/>
      <c r="V88" s="845"/>
      <c r="W88" s="845"/>
      <c r="X88" s="845"/>
      <c r="Y88" s="1002"/>
      <c r="Z88" s="848"/>
      <c r="AA88" s="851"/>
      <c r="AB88" s="848"/>
      <c r="AC88" s="848"/>
      <c r="AD88" s="848"/>
    </row>
    <row customHeight="1" ht="18">
      <c r="A89" s="847"/>
      <c r="B89" s="901">
        <v>72</v>
      </c>
      <c r="C89" s="845" t="s">
        <v>2221</v>
      </c>
      <c r="D89" s="969" t="s">
        <v>2218</v>
      </c>
      <c r="E89" s="845" t="s">
        <v>2218</v>
      </c>
      <c r="F89" s="845" t="s">
        <v>2184</v>
      </c>
      <c r="G89" s="845"/>
      <c r="H89" s="893"/>
      <c r="I89" s="1007" t="str">
        <f>INDEX(TEMPLATE_NUMBER_POINT_FHD,B89,MATCH(TEMPLATE_SPHERE,TEMPLATE_SPHERE_LIST_FOR_NOTE,0))</f>
        <v>13</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13</v>
      </c>
      <c r="M89" s="846" t="str">
        <f>IF(J89=0,"",J89)</f>
        <v>Среднесписочная численность основного производственного персонала</v>
      </c>
      <c r="N89" s="846" t="str">
        <f>IF(K89=0,"",K89)</f>
        <v/>
      </c>
      <c r="O89" s="959" t="s">
        <v>154</v>
      </c>
      <c r="P89" s="959" t="s">
        <v>153</v>
      </c>
      <c r="Q89" s="959" t="s">
        <v>153</v>
      </c>
      <c r="R89" s="959" t="s">
        <v>151</v>
      </c>
      <c r="S89" s="959"/>
      <c r="T89" s="845" t="s">
        <v>682</v>
      </c>
      <c r="U89" s="845" t="s">
        <v>682</v>
      </c>
      <c r="V89" s="845" t="s">
        <v>682</v>
      </c>
      <c r="W89" s="845" t="s">
        <v>682</v>
      </c>
      <c r="X89" s="845"/>
      <c r="Y89" s="1002"/>
      <c r="Z89" s="848"/>
      <c r="AA89" s="851"/>
      <c r="AB89" s="848"/>
      <c r="AC89" s="848"/>
      <c r="AD89" s="848"/>
    </row>
    <row customHeight="1" ht="27">
      <c r="A90" s="847"/>
      <c r="B90" s="901">
        <v>73</v>
      </c>
      <c r="C90" s="845" t="s">
        <v>2222</v>
      </c>
      <c r="D90" s="969"/>
      <c r="E90" s="845"/>
      <c r="F90" s="845"/>
      <c r="G90" s="845"/>
      <c r="H90" s="893"/>
      <c r="I90" s="1007" t="str">
        <f>INDEX(TEMPLATE_NUMBER_POINT_FHD,B90,MATCH(TEMPLATE_SPHERE,TEMPLATE_SPHERE_LIST_FOR_NOTE,0))</f>
        <v>14</v>
      </c>
      <c r="J90" s="1007" t="str">
        <f>INDEX(TEMPLATE_DATA_POINT_FHD,B90,MATCH(TEMPLATE_SPHERE,TEMPLATE_SPHERE_LIST_FOR_NOTE,0))</f>
        <v>Среднесписочная численность административно-управленческого персонала</v>
      </c>
      <c r="K90" s="1007">
        <f>INDEX(TEMPLATE_NOTE_POINT_FHD,B90,MATCH(TEMPLATE_SPHERE,TEMPLATE_SPHERE_LIST_FOR_NOTE,0))</f>
        <v>0</v>
      </c>
      <c r="L90" s="846" t="str">
        <f>IF(I90=0,"",I90)</f>
        <v>14</v>
      </c>
      <c r="M90" s="846" t="str">
        <f>IF(J90=0,"",J90)</f>
        <v>Среднесписочная численность административно-управленческого персонала</v>
      </c>
      <c r="N90" s="846" t="str">
        <f>IF(K90=0,"",K90)</f>
        <v/>
      </c>
      <c r="O90" s="959" t="s">
        <v>155</v>
      </c>
      <c r="P90" s="959"/>
      <c r="Q90" s="959"/>
      <c r="R90" s="959"/>
      <c r="S90" s="959"/>
      <c r="T90" s="845" t="s">
        <v>684</v>
      </c>
      <c r="U90" s="845"/>
      <c r="V90" s="845"/>
      <c r="W90" s="845"/>
      <c r="X90" s="845"/>
      <c r="Y90" s="1002"/>
      <c r="Z90" s="848"/>
      <c r="AA90" s="851"/>
      <c r="AB90" s="848"/>
      <c r="AC90" s="848"/>
      <c r="AD90" s="848"/>
    </row>
    <row customHeight="1" ht="18">
      <c r="A91" s="847"/>
      <c r="B91" s="901">
        <v>74</v>
      </c>
      <c r="C91" s="845"/>
      <c r="D91" s="969" t="s">
        <v>2220</v>
      </c>
      <c r="E91" s="845" t="s">
        <v>2220</v>
      </c>
      <c r="F91" s="845"/>
      <c r="G91" s="845"/>
      <c r="H91" s="893"/>
      <c r="I91" s="1007">
        <f>INDEX(TEMPLATE_NUMBER_POINT_FHD,B91,MATCH(TEMPLATE_SPHERE,TEMPLATE_SPHERE_LIST_FOR_NOTE,0))</f>
        <v>0</v>
      </c>
      <c r="J91" s="1007">
        <f>INDEX(TEMPLATE_DATA_POINT_FHD,B91,MATCH(TEMPLATE_SPHERE,TEMPLATE_SPHERE_LIST_FOR_NOTE,0))</f>
        <v>0</v>
      </c>
      <c r="K91" s="1007">
        <f>INDEX(TEMPLATE_NOTE_POINT_FHD,B91,MATCH(TEMPLATE_SPHERE,TEMPLATE_SPHERE_LIST_FOR_NOTE,0))</f>
        <v>0</v>
      </c>
      <c r="L91" s="846" t="str">
        <f>IF(I91=0,"",I91)</f>
        <v/>
      </c>
      <c r="M91" s="846" t="str">
        <f>IF(J91=0,"",J91)</f>
        <v/>
      </c>
      <c r="N91" s="846" t="str">
        <f>IF(K91=0,"",K91)</f>
        <v/>
      </c>
      <c r="O91" s="959"/>
      <c r="P91" s="959" t="s">
        <v>154</v>
      </c>
      <c r="Q91" s="959" t="s">
        <v>154</v>
      </c>
      <c r="R91" s="959"/>
      <c r="S91" s="959"/>
      <c r="T91" s="845"/>
      <c r="U91" s="845" t="s">
        <v>2223</v>
      </c>
      <c r="V91" s="845" t="s">
        <v>2223</v>
      </c>
      <c r="W91" s="845"/>
      <c r="X91" s="845"/>
      <c r="Y91" s="1002"/>
      <c r="Z91" s="848"/>
      <c r="AA91" s="851"/>
      <c r="AB91" s="848"/>
      <c r="AC91" s="848"/>
      <c r="AD91" s="848"/>
    </row>
    <row customHeight="1" ht="27">
      <c r="A92" s="847"/>
      <c r="B92" s="901">
        <v>75</v>
      </c>
      <c r="C92" s="845"/>
      <c r="D92" s="969" t="s">
        <v>2221</v>
      </c>
      <c r="E92" s="845"/>
      <c r="F92" s="845"/>
      <c r="G92" s="845"/>
      <c r="H92" s="893"/>
      <c r="I92" s="1007">
        <f>INDEX(TEMPLATE_NUMBER_POINT_FHD,B92,MATCH(TEMPLATE_SPHERE,TEMPLATE_SPHERE_LIST_FOR_NOTE,0))</f>
        <v>0</v>
      </c>
      <c r="J92" s="1007">
        <f>INDEX(TEMPLATE_DATA_POINT_FHD,B92,MATCH(TEMPLATE_SPHERE,TEMPLATE_SPHERE_LIST_FOR_NOTE,0))</f>
        <v>0</v>
      </c>
      <c r="K92" s="1007">
        <f>INDEX(TEMPLATE_NOTE_POINT_FHD,B92,MATCH(TEMPLATE_SPHERE,TEMPLATE_SPHERE_LIST_FOR_NOTE,0))</f>
        <v>0</v>
      </c>
      <c r="L92" s="846" t="str">
        <f>IF(I92=0,"",I92)</f>
        <v/>
      </c>
      <c r="M92" s="846" t="str">
        <f>IF(J92=0,"",J92)</f>
        <v/>
      </c>
      <c r="N92" s="846" t="str">
        <f>IF(K92=0,"",K92)</f>
        <v/>
      </c>
      <c r="O92" s="959"/>
      <c r="P92" s="959" t="s">
        <v>155</v>
      </c>
      <c r="Q92" s="959"/>
      <c r="R92" s="959"/>
      <c r="S92" s="959"/>
      <c r="T92" s="845"/>
      <c r="U92" s="845" t="s">
        <v>2224</v>
      </c>
      <c r="V92" s="845"/>
      <c r="W92" s="845"/>
      <c r="X92" s="845"/>
      <c r="Y92" s="1002"/>
      <c r="Z92" s="848"/>
      <c r="AA92" s="851" t="s">
        <v>2225</v>
      </c>
      <c r="AB92" s="848"/>
      <c r="AC92" s="848"/>
      <c r="AD92" s="848"/>
    </row>
    <row customHeight="1" ht="27">
      <c r="A93" s="847"/>
      <c r="B93" s="901">
        <v>76</v>
      </c>
      <c r="C93" s="845"/>
      <c r="D93" s="969"/>
      <c r="E93" s="845"/>
      <c r="F93" s="845"/>
      <c r="G93" s="845"/>
      <c r="H93" s="893"/>
      <c r="I93" s="1007">
        <f>INDEX(TEMPLATE_NUMBER_POINT_FHD,B93,MATCH(TEMPLATE_SPHERE,TEMPLATE_SPHERE_LIST_FOR_NOTE,0))</f>
        <v>0</v>
      </c>
      <c r="J93" s="1007">
        <f>INDEX(TEMPLATE_DATA_POINT_FHD,B93,MATCH(TEMPLATE_SPHERE,TEMPLATE_SPHERE_LIST_FOR_NOTE,0))</f>
        <v>0</v>
      </c>
      <c r="K93" s="1007">
        <f>INDEX(TEMPLATE_NOTE_POINT_FHD,B93,MATCH(TEMPLATE_SPHERE,TEMPLATE_SPHERE_LIST_FOR_NOTE,0))</f>
        <v>0</v>
      </c>
      <c r="L93" s="846" t="str">
        <f>IF(I93=0,"",I93)</f>
        <v/>
      </c>
      <c r="M93" s="846" t="str">
        <f>IF(J93=0,"",J93)</f>
        <v/>
      </c>
      <c r="N93" s="846" t="str">
        <f>IF(K93=0,"",K93)</f>
        <v/>
      </c>
      <c r="O93" s="959"/>
      <c r="P93" s="959" t="s">
        <v>2131</v>
      </c>
      <c r="Q93" s="959"/>
      <c r="R93" s="959"/>
      <c r="S93" s="959"/>
      <c r="T93" s="845"/>
      <c r="U93" s="845" t="s">
        <v>2226</v>
      </c>
      <c r="V93" s="845"/>
      <c r="W93" s="845"/>
      <c r="X93" s="845"/>
      <c r="Y93" s="1002"/>
      <c r="Z93" s="848"/>
      <c r="AA93" s="851" t="s">
        <v>2227</v>
      </c>
      <c r="AB93" s="848"/>
      <c r="AC93" s="848"/>
      <c r="AD93" s="848"/>
    </row>
    <row customHeight="1" ht="45">
      <c r="A94" s="847"/>
      <c r="B94" s="901">
        <v>77</v>
      </c>
      <c r="C94" s="845"/>
      <c r="D94" s="969" t="s">
        <v>2222</v>
      </c>
      <c r="E94" s="845"/>
      <c r="F94" s="845"/>
      <c r="G94" s="845"/>
      <c r="H94" s="893"/>
      <c r="I94" s="1007">
        <f>INDEX(TEMPLATE_NUMBER_POINT_FHD,B94,MATCH(TEMPLATE_SPHERE,TEMPLATE_SPHERE_LIST_FOR_NOTE,0))</f>
        <v>0</v>
      </c>
      <c r="J94" s="1007">
        <f>INDEX(TEMPLATE_DATA_POINT_FHD,B94,MATCH(TEMPLATE_SPHERE,TEMPLATE_SPHERE_LIST_FOR_NOTE,0))</f>
        <v>0</v>
      </c>
      <c r="K94" s="1007">
        <f>INDEX(TEMPLATE_NOTE_POINT_FHD,B94,MATCH(TEMPLATE_SPHERE,TEMPLATE_SPHERE_LIST_FOR_NOTE,0))</f>
        <v>0</v>
      </c>
      <c r="L94" s="846" t="str">
        <f>IF(I94=0,"",I94)</f>
        <v/>
      </c>
      <c r="M94" s="846" t="str">
        <f>IF(J94=0,"",J94)</f>
        <v/>
      </c>
      <c r="N94" s="846" t="str">
        <f>IF(K94=0,"",K94)</f>
        <v/>
      </c>
      <c r="O94" s="959"/>
      <c r="P94" s="959" t="s">
        <v>1484</v>
      </c>
      <c r="Q94" s="959"/>
      <c r="R94" s="959"/>
      <c r="S94" s="959"/>
      <c r="T94" s="845"/>
      <c r="U94" s="845" t="s">
        <v>2228</v>
      </c>
      <c r="V94" s="845"/>
      <c r="W94" s="845"/>
      <c r="X94" s="845"/>
      <c r="Y94" s="1002"/>
      <c r="Z94" s="848"/>
      <c r="AA94" s="851" t="s">
        <v>2229</v>
      </c>
      <c r="AB94" s="848"/>
      <c r="AC94" s="848"/>
      <c r="AD94" s="848"/>
    </row>
    <row customHeight="1" ht="99">
      <c r="A95" s="847"/>
      <c r="B95" s="901">
        <v>78</v>
      </c>
      <c r="C95" s="845" t="s">
        <v>2230</v>
      </c>
      <c r="D95" s="969"/>
      <c r="E95" s="845"/>
      <c r="F95" s="845"/>
      <c r="G95" s="845"/>
      <c r="H95" s="893"/>
      <c r="I95" s="1007" t="str">
        <f>INDEX(TEMPLATE_NUMBER_POINT_FHD,B95,MATCH(TEMPLATE_SPHERE,TEMPLATE_SPHERE_LIST_FOR_NOTE,0))</f>
        <v>15</v>
      </c>
      <c r="J95" s="1007"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7">
        <f>INDEX(TEMPLATE_NOTE_POINT_FHD,B95,MATCH(TEMPLATE_SPHERE,TEMPLATE_SPHERE_LIST_FOR_NOTE,0))</f>
        <v>0</v>
      </c>
      <c r="L95" s="846" t="str">
        <f>IF(I95=0,"",I95)</f>
        <v>15</v>
      </c>
      <c r="M95" s="846"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6" t="str">
        <f>IF(K95=0,"",K95)</f>
        <v/>
      </c>
      <c r="O95" s="959" t="s">
        <v>1484</v>
      </c>
      <c r="P95" s="959"/>
      <c r="Q95" s="959"/>
      <c r="R95" s="959"/>
      <c r="S95" s="959"/>
      <c r="T95" s="845" t="s">
        <v>2231</v>
      </c>
      <c r="U95" s="845"/>
      <c r="V95" s="845"/>
      <c r="W95" s="845"/>
      <c r="X95" s="845"/>
      <c r="Y95" s="1002"/>
      <c r="Z95" s="848"/>
      <c r="AA95" s="851"/>
      <c r="AB95" s="848"/>
      <c r="AC95" s="848"/>
      <c r="AD95" s="848"/>
    </row>
    <row customHeight="1" ht="99">
      <c r="A96" s="847"/>
      <c r="B96" s="901">
        <v>79</v>
      </c>
      <c r="C96" s="845" t="s">
        <v>1155</v>
      </c>
      <c r="D96" s="969"/>
      <c r="E96" s="845"/>
      <c r="F96" s="845"/>
      <c r="G96" s="845"/>
      <c r="H96" s="893"/>
      <c r="I96" s="1007" t="str">
        <f>INDEX(TEMPLATE_NUMBER_POINT_FHD,B96,MATCH(TEMPLATE_SPHERE,TEMPLATE_SPHERE_LIST_FOR_NOTE,0))</f>
        <v>16</v>
      </c>
      <c r="J96" s="1007"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7"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6" t="str">
        <f>IF(I96=0,"",I96)</f>
        <v>16</v>
      </c>
      <c r="M96" s="846"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6"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9" t="s">
        <v>1490</v>
      </c>
      <c r="P96" s="959"/>
      <c r="Q96" s="959"/>
      <c r="R96" s="959"/>
      <c r="S96" s="959"/>
      <c r="T96" s="845" t="s">
        <v>2232</v>
      </c>
      <c r="U96" s="845"/>
      <c r="V96" s="845"/>
      <c r="W96" s="845"/>
      <c r="X96" s="845"/>
      <c r="Y96" s="1002"/>
      <c r="Z96" s="848" t="s">
        <v>2233</v>
      </c>
      <c r="AA96" s="851"/>
      <c r="AB96" s="848"/>
      <c r="AC96" s="848"/>
      <c r="AD96" s="848"/>
    </row>
    <row customHeight="1" ht="63">
      <c r="A97" s="847"/>
      <c r="B97" s="901">
        <v>80</v>
      </c>
      <c r="C97" s="845" t="s">
        <v>2234</v>
      </c>
      <c r="D97" s="969"/>
      <c r="E97" s="845"/>
      <c r="F97" s="845"/>
      <c r="G97" s="845"/>
      <c r="H97" s="893"/>
      <c r="I97" s="1007" t="str">
        <f>INDEX(TEMPLATE_NUMBER_POINT_FHD,B97,MATCH(TEMPLATE_SPHERE,TEMPLATE_SPHERE_LIST_FOR_NOTE,0))</f>
        <v>17</v>
      </c>
      <c r="J97" s="1007"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7"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6" t="str">
        <f>IF(I97=0,"",I97)</f>
        <v>17</v>
      </c>
      <c r="M97" s="846"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6" t="str">
        <f>IF(K97=0,"",K97)</f>
        <v>Регулируемыми организациями указывается информация с по договорам, заключенным в рамках осуществления регулируемой деятельности.</v>
      </c>
      <c r="O97" s="959" t="s">
        <v>1502</v>
      </c>
      <c r="P97" s="959"/>
      <c r="Q97" s="959"/>
      <c r="R97" s="959"/>
      <c r="S97" s="959"/>
      <c r="T97" s="845" t="s">
        <v>2235</v>
      </c>
      <c r="U97" s="845"/>
      <c r="V97" s="845"/>
      <c r="W97" s="845"/>
      <c r="X97" s="845"/>
      <c r="Y97" s="1002"/>
      <c r="Z97" s="848" t="s">
        <v>2236</v>
      </c>
      <c r="AA97" s="851"/>
      <c r="AB97" s="848"/>
      <c r="AC97" s="848"/>
      <c r="AD97" s="848"/>
    </row>
    <row customHeight="1" ht="63">
      <c r="A98" s="847"/>
      <c r="B98" s="901">
        <v>81</v>
      </c>
      <c r="C98" s="845" t="s">
        <v>2237</v>
      </c>
      <c r="D98" s="969"/>
      <c r="E98" s="845"/>
      <c r="F98" s="845"/>
      <c r="G98" s="845"/>
      <c r="H98" s="893"/>
      <c r="I98" s="1007" t="str">
        <f>INDEX(TEMPLATE_NUMBER_POINT_FHD,B98,MATCH(TEMPLATE_SPHERE,TEMPLATE_SPHERE_LIST_FOR_NOTE,0))</f>
        <v>18</v>
      </c>
      <c r="J98" s="1007"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7"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6" t="str">
        <f>IF(I98=0,"",I98)</f>
        <v>18</v>
      </c>
      <c r="M98" s="846"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6" t="str">
        <f>IF(K98=0,"",K98)</f>
        <v>Регулируемыми организациями указывается информация с по договорам, заключенным в рамках осуществления регулируемой деятельности.</v>
      </c>
      <c r="O98" s="959" t="s">
        <v>1516</v>
      </c>
      <c r="P98" s="959"/>
      <c r="Q98" s="959"/>
      <c r="R98" s="959"/>
      <c r="S98" s="959"/>
      <c r="T98" s="845" t="s">
        <v>2238</v>
      </c>
      <c r="U98" s="845"/>
      <c r="V98" s="845"/>
      <c r="W98" s="845"/>
      <c r="X98" s="845"/>
      <c r="Y98" s="1002"/>
      <c r="Z98" s="848" t="s">
        <v>2236</v>
      </c>
      <c r="AA98" s="851"/>
      <c r="AB98" s="848"/>
      <c r="AC98" s="848"/>
      <c r="AD98" s="848"/>
    </row>
    <row customHeight="1" ht="90">
      <c r="A99" s="847"/>
      <c r="B99" s="901">
        <v>82</v>
      </c>
      <c r="C99" s="845" t="s">
        <v>2239</v>
      </c>
      <c r="D99" s="969"/>
      <c r="E99" s="845"/>
      <c r="F99" s="845"/>
      <c r="G99" s="845"/>
      <c r="H99" s="893"/>
      <c r="I99" s="1007" t="str">
        <f>INDEX(TEMPLATE_NUMBER_POINT_FHD,B99,MATCH(TEMPLATE_SPHERE,TEMPLATE_SPHERE_LIST_FOR_NOTE,0))</f>
        <v>19</v>
      </c>
      <c r="J99" s="1007"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7" t="str">
        <f>INDEX(TEMPLATE_NOTE_POINT_FHD,B99,MATCH(TEMPLATE_SPHERE,TEMPLATE_SPHERE_LIST_FOR_NOTE,0))</f>
        <v>Указывается ссылка на документ, предварительно загруженный в хранилище файлов ФГИС ЕИАС.</v>
      </c>
      <c r="L99" s="846" t="str">
        <f>IF(I99=0,"",I99)</f>
        <v>19</v>
      </c>
      <c r="M99" s="846"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6" t="str">
        <f>IF(K99=0,"",K99)</f>
        <v>Указывается ссылка на документ, предварительно загруженный в хранилище файлов ФГИС ЕИАС.</v>
      </c>
      <c r="O99" s="959" t="s">
        <v>1528</v>
      </c>
      <c r="P99" s="959"/>
      <c r="Q99" s="959"/>
      <c r="R99" s="959"/>
      <c r="S99" s="959"/>
      <c r="T99" s="845" t="s">
        <v>2240</v>
      </c>
      <c r="U99" s="845"/>
      <c r="V99" s="845"/>
      <c r="W99" s="845"/>
      <c r="X99" s="845"/>
      <c r="Y99" s="1002"/>
      <c r="Z99" s="848" t="s">
        <v>639</v>
      </c>
      <c r="AA99" s="851"/>
      <c r="AB99" s="848"/>
      <c r="AC99" s="848"/>
      <c r="AD99" s="848"/>
    </row>
    <row customHeight="1" ht="27">
      <c r="A100" s="847"/>
      <c r="B100" s="901">
        <v>83</v>
      </c>
      <c r="C100" s="845"/>
      <c r="D100" s="969"/>
      <c r="E100" s="845"/>
      <c r="F100" s="845"/>
      <c r="G100" s="845"/>
      <c r="H100" s="893"/>
      <c r="I100" s="1007" t="str">
        <f>INDEX(TEMPLATE_NUMBER_POINT_FHD,B100,MATCH(TEMPLATE_SPHERE,TEMPLATE_SPHERE_LIST_FOR_NOTE,0))</f>
        <v>19.1</v>
      </c>
      <c r="J100" s="1007" t="str">
        <f>INDEX(TEMPLATE_DATA_POINT_FHD,B100,MATCH(TEMPLATE_SPHERE,TEMPLATE_SPHERE_LIST_FOR_NOTE,0))</f>
        <v>Информация о показателях физического износа объектов теплоснабжения</v>
      </c>
      <c r="K100" s="1007" t="str">
        <f>INDEX(TEMPLATE_NOTE_POINT_FHD,B100,MATCH(TEMPLATE_SPHERE,TEMPLATE_SPHERE_LIST_FOR_NOTE,0))</f>
        <v>Указывается ссылка на документ, предварительно загруженный в хранилище файлов ФГИС ЕИАС.</v>
      </c>
      <c r="L100" s="846" t="str">
        <f>IF(I100=0,"",I100)</f>
        <v>19.1</v>
      </c>
      <c r="M100" s="846" t="str">
        <f>IF(J100=0,"",J100)</f>
        <v>Информация о показателях физического износа объектов теплоснабжения</v>
      </c>
      <c r="N100" s="846" t="str">
        <f>IF(K100=0,"",K100)</f>
        <v>Указывается ссылка на документ, предварительно загруженный в хранилище файлов ФГИС ЕИАС.</v>
      </c>
      <c r="O100" s="959" t="s">
        <v>2241</v>
      </c>
      <c r="P100" s="959"/>
      <c r="Q100" s="959"/>
      <c r="R100" s="959"/>
      <c r="S100" s="959"/>
      <c r="T100" s="845" t="s">
        <v>2242</v>
      </c>
      <c r="U100" s="845"/>
      <c r="V100" s="845"/>
      <c r="W100" s="845"/>
      <c r="X100" s="845"/>
      <c r="Y100" s="1002"/>
      <c r="Z100" s="848" t="s">
        <v>639</v>
      </c>
      <c r="AA100" s="851"/>
      <c r="AB100" s="848"/>
      <c r="AC100" s="848"/>
      <c r="AD100" s="848"/>
    </row>
    <row customHeight="1" ht="27">
      <c r="A101" s="847"/>
      <c r="B101" s="901">
        <v>84</v>
      </c>
      <c r="C101" s="845"/>
      <c r="D101" s="969"/>
      <c r="E101" s="845"/>
      <c r="F101" s="845"/>
      <c r="G101" s="845"/>
      <c r="H101" s="893"/>
      <c r="I101" s="1007" t="str">
        <f>INDEX(TEMPLATE_NUMBER_POINT_FHD,B101,MATCH(TEMPLATE_SPHERE,TEMPLATE_SPHERE_LIST_FOR_NOTE,0))</f>
        <v>19.2</v>
      </c>
      <c r="J101" s="1007" t="str">
        <f>INDEX(TEMPLATE_DATA_POINT_FHD,B101,MATCH(TEMPLATE_SPHERE,TEMPLATE_SPHERE_LIST_FOR_NOTE,0))</f>
        <v>Информация о показателях энергетической эффективности объектов теплоснабжения</v>
      </c>
      <c r="K101" s="1007" t="str">
        <f>INDEX(TEMPLATE_NOTE_POINT_FHD,B101,MATCH(TEMPLATE_SPHERE,TEMPLATE_SPHERE_LIST_FOR_NOTE,0))</f>
        <v>Указывается ссылка на документ, предварительно загруженный в хранилище файлов ФГИС ЕИАС.</v>
      </c>
      <c r="L101" s="846" t="str">
        <f>IF(I101=0,"",I101)</f>
        <v>19.2</v>
      </c>
      <c r="M101" s="846" t="str">
        <f>IF(J101=0,"",J101)</f>
        <v>Информация о показателях энергетической эффективности объектов теплоснабжения</v>
      </c>
      <c r="N101" s="846" t="str">
        <f>IF(K101=0,"",K101)</f>
        <v>Указывается ссылка на документ, предварительно загруженный в хранилище файлов ФГИС ЕИАС.</v>
      </c>
      <c r="O101" s="959" t="s">
        <v>2243</v>
      </c>
      <c r="P101" s="959"/>
      <c r="Q101" s="959"/>
      <c r="R101" s="959"/>
      <c r="S101" s="959"/>
      <c r="T101" s="845" t="s">
        <v>2244</v>
      </c>
      <c r="U101" s="845"/>
      <c r="V101" s="845"/>
      <c r="W101" s="845"/>
      <c r="X101" s="845"/>
      <c r="Y101" s="1002"/>
      <c r="Z101" s="848" t="s">
        <v>639</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1682</v>
      </c>
      <c r="B148" s="847"/>
      <c r="C148" s="845" t="s">
        <v>2245</v>
      </c>
      <c r="D148" s="845" t="s">
        <v>1584</v>
      </c>
      <c r="E148" s="845" t="s">
        <v>1684</v>
      </c>
      <c r="F148" s="845" t="s">
        <v>2246</v>
      </c>
      <c r="G148" s="845"/>
      <c r="H148" s="845"/>
      <c r="I148" s="965"/>
      <c r="J148" s="965"/>
      <c r="K148" s="965"/>
      <c r="L148" s="965"/>
      <c r="M148" s="895"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50"/>
      <c r="O148" s="845"/>
      <c r="P148" s="846"/>
      <c r="Q148" s="846"/>
      <c r="R148" s="846"/>
      <c r="S148" s="845"/>
      <c r="T148" s="845" t="s">
        <v>2247</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6"/>
      <c r="W148" s="846"/>
      <c r="X148" s="845" t="s">
        <v>2248</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1686</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1689</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1693</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8308C8-72B3-E9C5-D6BF-0.43FEAB3A}"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2249</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43</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429</v>
      </c>
      <c r="N9" s="306"/>
      <c r="O9" s="2253" t="str">
        <f>IF(TITLE_DATE_CHANGE_PERIOD="",IF(TITLE_DATE_PR="","",TITLE_DATE_PR),TITLE_DATE_CHANGE_PERIOD)</f>
        <v>46388.35612268518</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430</v>
      </c>
      <c r="N10" s="306"/>
      <c r="O10" s="2253" t="str">
        <f>IF(TITLE_NUMBER_PR_CHANGE="",IF(TITLE_NUMBER_PR="","",TITLE_NUMBER_PR),TITLE_NUMBER_PR_CHANGE)</f>
        <v>вх. О-1106 (исх. №382 от 29.04.2026)</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44</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433</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309</v>
      </c>
      <c r="M14" s="2129"/>
      <c r="N14" s="2129"/>
      <c r="O14" s="2129"/>
      <c r="P14" s="2129"/>
      <c r="Q14" s="2129"/>
      <c r="R14" s="2129"/>
      <c r="S14" s="2129"/>
      <c r="T14" s="2129"/>
      <c r="U14" s="2129"/>
      <c r="V14" s="2129"/>
      <c r="W14" s="2129"/>
      <c r="X14" s="2129" t="s">
        <v>310</v>
      </c>
      <c r="AD14" s="1157">
        <v>14</v>
      </c>
    </row>
    <row customHeight="1" ht="15">
      <c r="J15" s="378"/>
      <c r="K15" s="378"/>
      <c r="L15" s="2275" t="s">
        <v>90</v>
      </c>
      <c r="M15" s="2211" t="s">
        <v>434</v>
      </c>
      <c r="N15" s="303"/>
      <c r="O15" s="2276" t="s">
        <v>2250</v>
      </c>
      <c r="P15" s="2277"/>
      <c r="Q15" s="2277"/>
      <c r="R15" s="2277"/>
      <c r="S15" s="2277"/>
      <c r="T15" s="2277"/>
      <c r="U15" s="2278"/>
      <c r="V15" s="2279" t="s">
        <v>436</v>
      </c>
      <c r="W15" s="2282" t="s">
        <v>1152</v>
      </c>
      <c r="X15" s="2129"/>
      <c r="AD15" s="1157">
        <v>14</v>
      </c>
    </row>
    <row customHeight="1" ht="36">
      <c r="J16" s="378"/>
      <c r="K16" s="378"/>
      <c r="L16" s="2275"/>
      <c r="M16" s="2211"/>
      <c r="N16" s="1033"/>
      <c r="O16" s="2262" t="s">
        <v>439</v>
      </c>
      <c r="P16" s="2262" t="s">
        <v>440</v>
      </c>
      <c r="Q16" s="2264" t="s">
        <v>441</v>
      </c>
      <c r="R16" s="2265"/>
      <c r="S16" s="2264" t="s">
        <v>455</v>
      </c>
      <c r="T16" s="2271"/>
      <c r="U16" s="2265"/>
      <c r="V16" s="2280"/>
      <c r="W16" s="2283"/>
      <c r="X16" s="2129"/>
      <c r="AD16" s="1157">
        <v>34</v>
      </c>
    </row>
    <row customHeight="1" ht="36">
      <c r="A17" s="1372" t="s">
        <v>136</v>
      </c>
      <c r="B17" s="1372" t="s">
        <v>137</v>
      </c>
      <c r="C17" s="1372" t="s">
        <v>138</v>
      </c>
      <c r="D17" s="1372" t="s">
        <v>139</v>
      </c>
      <c r="E17" s="1372"/>
      <c r="J17" s="378"/>
      <c r="K17" s="378"/>
      <c r="L17" s="2275"/>
      <c r="M17" s="2211"/>
      <c r="N17" s="304"/>
      <c r="O17" s="2263"/>
      <c r="P17" s="2263"/>
      <c r="Q17" s="1224" t="s">
        <v>450</v>
      </c>
      <c r="R17" s="1224" t="s">
        <v>451</v>
      </c>
      <c r="S17" s="1294" t="s">
        <v>452</v>
      </c>
      <c r="T17" s="2272" t="s">
        <v>453</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111</v>
      </c>
      <c r="M18" s="1257" t="s">
        <v>112</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179</v>
      </c>
      <c r="B19" s="1365" t="s">
        <v>180</v>
      </c>
      <c r="C19" s="1365" t="s">
        <v>181</v>
      </c>
      <c r="D19" s="1365" t="s">
        <v>182</v>
      </c>
      <c r="E19" s="1365"/>
      <c r="F19" s="1367"/>
      <c r="G19" s="1367"/>
      <c r="H19" s="1367"/>
      <c r="I19" s="363"/>
      <c r="J19" s="362"/>
      <c r="K19" s="357"/>
      <c r="L19" s="1295">
        <f>INDEX(PT_DIFFERENTIATION_NUM_NTAR,MATCH(A19,PT_DIFFERENTIATION_NTAR_ID,0))</f>
        <v>0</v>
      </c>
      <c r="M19" s="300" t="s">
        <v>125</v>
      </c>
      <c r="N19" s="302"/>
      <c r="O19" s="2608" t="str">
        <f>INDEX(PT_DIFFERENTIATION_NTAR,MATCH(A19,PT_DIFFERENTIATION_NTAR_ID,0))</f>
        <v/>
      </c>
      <c r="P19" s="2608"/>
      <c r="Q19" s="2608"/>
      <c r="R19" s="2608"/>
      <c r="S19" s="2608"/>
      <c r="T19" s="2608"/>
      <c r="U19" s="2608"/>
      <c r="V19" s="2608"/>
      <c r="W19" s="2608"/>
      <c r="X19" s="1260" t="s">
        <v>405</v>
      </c>
      <c r="Z19" s="502"/>
      <c r="AA19" s="502" t="str">
        <f>IF(M19="","",M19)</f>
        <v>Наименование тарифа</v>
      </c>
      <c r="AB19" s="502"/>
      <c r="AC19" s="502"/>
      <c r="AD19" s="1157">
        <v>20</v>
      </c>
    </row>
    <row customHeight="1" ht="21">
      <c r="A20" s="1365" t="s">
        <v>179</v>
      </c>
      <c r="B20" s="1365" t="s">
        <v>180</v>
      </c>
      <c r="C20" s="1365" t="s">
        <v>181</v>
      </c>
      <c r="D20" s="1365" t="s">
        <v>182</v>
      </c>
      <c r="E20" s="1365"/>
      <c r="F20" s="1367"/>
      <c r="G20" s="1367"/>
      <c r="H20" s="1367"/>
      <c r="I20" s="1292"/>
      <c r="J20" s="354"/>
      <c r="K20" s="355"/>
      <c r="L20" s="1295" t="str">
        <f>INDEX(PT_DIFFERENTIATION_NUM_TER,MATCH(B19,PT_DIFFERENTIATION_TER_ID,0))</f>
        <v>.</v>
      </c>
      <c r="M20" s="310" t="s">
        <v>406</v>
      </c>
      <c r="N20" s="302"/>
      <c r="O20" s="2608" t="str">
        <f>INDEX(PT_DIFFERENTIATION_TER,MATCH(B19,PT_DIFFERENTIATION_TER_ID,0))</f>
        <v/>
      </c>
      <c r="P20" s="2608"/>
      <c r="Q20" s="2608"/>
      <c r="R20" s="2608"/>
      <c r="S20" s="2608"/>
      <c r="T20" s="2608"/>
      <c r="U20" s="2608"/>
      <c r="V20" s="2608"/>
      <c r="W20" s="2608"/>
      <c r="X20" s="1260" t="s">
        <v>407</v>
      </c>
      <c r="Z20" s="502"/>
      <c r="AA20" s="502" t="str">
        <f>IF(M20="","",M20)</f>
        <v>Территория действия тарифа</v>
      </c>
      <c r="AB20" s="502"/>
      <c r="AC20" s="502"/>
      <c r="AD20" s="1157">
        <v>20</v>
      </c>
    </row>
    <row customHeight="1" ht="24">
      <c r="A21" s="1365" t="s">
        <v>179</v>
      </c>
      <c r="B21" s="1365" t="s">
        <v>180</v>
      </c>
      <c r="C21" s="1365" t="s">
        <v>181</v>
      </c>
      <c r="D21" s="1365" t="s">
        <v>182</v>
      </c>
      <c r="E21" s="1365"/>
      <c r="F21" s="1367"/>
      <c r="G21" s="1367"/>
      <c r="H21" s="1367"/>
      <c r="I21" s="356"/>
      <c r="J21" s="354"/>
      <c r="K21" s="355"/>
      <c r="L21" s="1295" t="str">
        <f>INDEX(PT_DIFFERENTIATION_NUM_CS,MATCH(C19,PT_DIFFERENTIATION_CS_ID,0))</f>
        <v>..</v>
      </c>
      <c r="M21" s="311" t="s">
        <v>408</v>
      </c>
      <c r="N21" s="302"/>
      <c r="O21" s="2608" t="str">
        <f>INDEX(PT_DIFFERENTIATION_CS,MATCH(C19,PT_DIFFERENTIATION_CS_ID,0))</f>
        <v/>
      </c>
      <c r="P21" s="2608"/>
      <c r="Q21" s="2608"/>
      <c r="R21" s="2608"/>
      <c r="S21" s="2608"/>
      <c r="T21" s="2608"/>
      <c r="U21" s="2608"/>
      <c r="V21" s="2608"/>
      <c r="W21" s="2608"/>
      <c r="X21" s="1260" t="s">
        <v>409</v>
      </c>
      <c r="Z21" s="502"/>
      <c r="AA21" s="502" t="str">
        <f>IF(M21="","",M21)</f>
        <v>Наименование системы теплоснабжения </v>
      </c>
      <c r="AB21" s="502"/>
      <c r="AC21" s="502"/>
      <c r="AD21" s="1157">
        <v>23</v>
      </c>
    </row>
    <row customHeight="1" ht="21">
      <c r="A22" s="1365" t="s">
        <v>179</v>
      </c>
      <c r="B22" s="1365" t="s">
        <v>180</v>
      </c>
      <c r="C22" s="1365" t="s">
        <v>181</v>
      </c>
      <c r="D22" s="1365" t="s">
        <v>182</v>
      </c>
      <c r="E22" s="1365"/>
      <c r="F22" s="1367"/>
      <c r="G22" s="1367"/>
      <c r="H22" s="1367"/>
      <c r="I22" s="356"/>
      <c r="J22" s="354"/>
      <c r="K22" s="355"/>
      <c r="L22" s="1295" t="str">
        <f>INDEX(PT_DIFFERENTIATION_NUM_IST_TE,MATCH(D19,PT_DIFFERENTIATION_IST_TE_ID,0))</f>
        <v>...</v>
      </c>
      <c r="M22" s="312" t="s">
        <v>410</v>
      </c>
      <c r="N22" s="302"/>
      <c r="O22" s="2608" t="str">
        <f>INDEX(PT_DIFFERENTIATION_IST_TE,MATCH(D19,PT_DIFFERENTIATION_IST_TE_ID,0))</f>
        <v/>
      </c>
      <c r="P22" s="2608"/>
      <c r="Q22" s="2608"/>
      <c r="R22" s="2608"/>
      <c r="S22" s="2608"/>
      <c r="T22" s="2608"/>
      <c r="U22" s="2608"/>
      <c r="V22" s="2608"/>
      <c r="W22" s="2608"/>
      <c r="X22" s="1260" t="s">
        <v>411</v>
      </c>
      <c r="Z22" s="502"/>
      <c r="AA22" s="502" t="str">
        <f>IF(M22="","",M22)</f>
        <v>Источник тепловой энергии  </v>
      </c>
      <c r="AB22" s="502"/>
      <c r="AC22" s="502"/>
      <c r="AD22" s="1157">
        <v>20</v>
      </c>
    </row>
    <row customHeight="1" ht="96.75">
      <c r="A23" s="1365" t="s">
        <v>179</v>
      </c>
      <c r="B23" s="1365" t="s">
        <v>180</v>
      </c>
      <c r="C23" s="1365" t="s">
        <v>181</v>
      </c>
      <c r="D23" s="1365" t="s">
        <v>182</v>
      </c>
      <c r="E23" s="1365"/>
      <c r="F23" s="2609" t="str">
        <f>L22&amp;".1"</f>
        <v>....1</v>
      </c>
      <c r="I23" s="2259">
        <v>1</v>
      </c>
      <c r="J23" s="1293"/>
      <c r="K23" s="358"/>
      <c r="L23" s="1295" t="str">
        <f>$F$23</f>
        <v>....1</v>
      </c>
      <c r="M23" s="287" t="s">
        <v>413</v>
      </c>
      <c r="N23" s="302"/>
      <c r="O23" s="2307"/>
      <c r="P23" s="2307"/>
      <c r="Q23" s="2307"/>
      <c r="R23" s="2307"/>
      <c r="S23" s="2307"/>
      <c r="T23" s="2307"/>
      <c r="U23" s="2307"/>
      <c r="V23" s="2307"/>
      <c r="W23" s="2307"/>
      <c r="X23" s="1260" t="s">
        <v>414</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179</v>
      </c>
      <c r="B24" s="1365" t="s">
        <v>180</v>
      </c>
      <c r="C24" s="1365" t="s">
        <v>181</v>
      </c>
      <c r="D24" s="1365" t="s">
        <v>182</v>
      </c>
      <c r="E24" s="1365"/>
      <c r="F24" s="2609"/>
      <c r="G24" s="2219" t="str">
        <f>F23&amp;".1"</f>
        <v>....1.1</v>
      </c>
      <c r="I24" s="2259"/>
      <c r="J24" s="2259">
        <v>1</v>
      </c>
      <c r="K24" s="359"/>
      <c r="L24" s="1295" t="str">
        <f>$G$24</f>
        <v>....1.1</v>
      </c>
      <c r="M24" s="288" t="s">
        <v>416</v>
      </c>
      <c r="N24" s="302"/>
      <c r="O24" s="2247"/>
      <c r="P24" s="2248"/>
      <c r="Q24" s="2248"/>
      <c r="R24" s="2248"/>
      <c r="S24" s="2248"/>
      <c r="T24" s="2248"/>
      <c r="U24" s="2248"/>
      <c r="V24" s="2248"/>
      <c r="W24" s="2249"/>
      <c r="X24" s="1260" t="s">
        <v>417</v>
      </c>
      <c r="Z24" s="502"/>
      <c r="AA24" s="502" t="str">
        <f>IF(M24="","",M24)</f>
        <v>Группа потребителей</v>
      </c>
      <c r="AB24" s="502"/>
      <c r="AC24" s="502"/>
      <c r="AD24" s="1157">
        <v>82</v>
      </c>
    </row>
    <row customHeight="1" ht="11.25">
      <c r="A25" s="1365" t="s">
        <v>179</v>
      </c>
      <c r="B25" s="1365" t="s">
        <v>180</v>
      </c>
      <c r="C25" s="1365" t="s">
        <v>181</v>
      </c>
      <c r="D25" s="1365" t="s">
        <v>182</v>
      </c>
      <c r="E25" s="1365"/>
      <c r="F25" s="2609"/>
      <c r="G25" s="2219"/>
      <c r="H25" s="2219" t="str">
        <f>G24&amp;".1"</f>
        <v>....1.1.1</v>
      </c>
      <c r="I25" s="2259"/>
      <c r="J25" s="2259"/>
      <c r="K25" s="359">
        <v>1</v>
      </c>
      <c r="L25" s="1295" t="str">
        <f>$H$25</f>
        <v>....1.1.1</v>
      </c>
      <c r="M25" s="1349"/>
      <c r="N25" s="302"/>
      <c r="O25" s="753"/>
      <c r="P25" s="327"/>
      <c r="Q25" s="753"/>
      <c r="R25" s="1259"/>
      <c r="S25" s="2604"/>
      <c r="T25" s="2109" t="s">
        <v>68</v>
      </c>
      <c r="U25" s="2604"/>
      <c r="V25" s="2109" t="s">
        <v>19</v>
      </c>
      <c r="W25" s="327"/>
      <c r="X25" s="2255" t="s">
        <v>419</v>
      </c>
      <c r="Y25" s="513">
        <f>STRCHECKDATE(O26:W26)</f>
      </c>
      <c r="Z25" s="502"/>
      <c r="AA25" s="502" t="str">
        <f>IF(M25="","",M25)</f>
        <v/>
      </c>
      <c r="AB25" s="502"/>
      <c r="AC25" s="502"/>
      <c r="AD25" s="1157">
        <v>11</v>
      </c>
    </row>
    <row customHeight="1" ht="11.25">
      <c r="A26" s="1365" t="s">
        <v>179</v>
      </c>
      <c r="B26" s="1365" t="s">
        <v>180</v>
      </c>
      <c r="C26" s="1365" t="s">
        <v>181</v>
      </c>
      <c r="D26" s="1365" t="s">
        <v>182</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179</v>
      </c>
      <c r="B27" s="1365" t="s">
        <v>180</v>
      </c>
      <c r="C27" s="1365" t="s">
        <v>181</v>
      </c>
      <c r="D27" s="1365" t="s">
        <v>182</v>
      </c>
      <c r="E27" s="1365"/>
      <c r="F27" s="2609"/>
      <c r="G27" s="2219"/>
      <c r="I27" s="2259"/>
      <c r="J27" s="2259"/>
      <c r="K27" s="358"/>
      <c r="L27" s="1280"/>
      <c r="M27" s="290" t="s">
        <v>420</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179</v>
      </c>
      <c r="B28" s="1365" t="s">
        <v>180</v>
      </c>
      <c r="C28" s="1365" t="s">
        <v>181</v>
      </c>
      <c r="D28" s="1365" t="s">
        <v>182</v>
      </c>
      <c r="E28" s="1365"/>
      <c r="F28" s="2609"/>
      <c r="I28" s="2259"/>
      <c r="J28" s="1293"/>
      <c r="K28" s="358"/>
      <c r="L28" s="1280"/>
      <c r="M28" s="289" t="s">
        <v>421</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179</v>
      </c>
      <c r="B29" s="1365" t="s">
        <v>180</v>
      </c>
      <c r="C29" s="1365" t="s">
        <v>181</v>
      </c>
      <c r="D29" s="1365" t="s">
        <v>182</v>
      </c>
      <c r="E29" s="1365"/>
      <c r="F29" s="1367"/>
      <c r="G29" s="1367"/>
      <c r="H29" s="539"/>
      <c r="I29" s="362"/>
      <c r="J29" s="377"/>
      <c r="K29" s="357"/>
      <c r="L29" s="1280"/>
      <c r="M29" s="367" t="s">
        <v>422</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179</v>
      </c>
      <c r="B30" s="1365" t="s">
        <v>180</v>
      </c>
      <c r="C30" s="1365" t="s">
        <v>181</v>
      </c>
      <c r="D30" s="1365"/>
      <c r="E30" s="1365" t="s">
        <v>594</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179</v>
      </c>
      <c r="B31" s="1365" t="s">
        <v>180</v>
      </c>
      <c r="C31" s="1365"/>
      <c r="D31" s="1365"/>
      <c r="E31" s="1365" t="s">
        <v>2251</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2252</v>
      </c>
      <c r="B32" s="1365"/>
      <c r="C32" s="1365"/>
      <c r="D32" s="1365"/>
      <c r="E32" s="1365" t="s">
        <v>106</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175</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811</v>
      </c>
      <c r="M35" s="2287" t="s">
        <v>2253</v>
      </c>
      <c r="N35" s="2287"/>
      <c r="O35" s="2287"/>
      <c r="P35" s="2287"/>
      <c r="Q35" s="2287"/>
      <c r="R35" s="2287"/>
      <c r="S35" s="2287"/>
      <c r="T35" s="2287"/>
      <c r="U35" s="2287"/>
      <c r="V35" s="2287"/>
      <c r="W35" s="2287"/>
      <c r="X35" s="2287"/>
      <c r="AD35" s="1157">
        <v>27</v>
      </c>
    </row>
    <row customHeight="1" ht="109.5">
      <c r="H36" s="539"/>
      <c r="I36" s="1305"/>
      <c r="M36" s="2287" t="s">
        <v>2254</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84</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1247EF-BF87-908F-085B-0.2DA8C87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E4B32D-F61F-B2DF-560E-0.896B66E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6CA007-C17B-6399-3D62-0.E20A273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E7926F-ECD2-9C07-957D-0.71D9C11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4DA5BE-64F4-6B31-6283-0.B876AB5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FD886B-B758-7F3C-B875-0.06A9C8D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75C25C-C9DC-B787-D3EE-0.62C3753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BCD187-7134-9627-0BFA-0.8BEF264C}"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13624C-355E-7AAE-9F14-0.21E9C3AE}"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2255</v>
      </c>
      <c r="B1" s="2618" t="s">
        <v>2256</v>
      </c>
      <c r="C1" s="2619" t="s">
        <v>2257</v>
      </c>
      <c r="D1" s="2620"/>
      <c r="E1" s="838" t="s">
        <v>2258</v>
      </c>
    </row>
    <row customHeight="1" ht="11.25">
      <c r="A2" s="2621"/>
      <c r="B2" s="767" t="s">
        <v>26</v>
      </c>
      <c r="C2" s="755"/>
      <c r="D2" s="766"/>
      <c r="E2" s="838"/>
    </row>
    <row customHeight="1" ht="11.25">
      <c r="A3" s="2622"/>
      <c r="B3" s="2623" t="s">
        <v>33</v>
      </c>
      <c r="C3" s="755"/>
      <c r="D3" s="766"/>
      <c r="E3" s="838"/>
    </row>
    <row customHeight="1" ht="11.25">
      <c r="A4" s="2624"/>
      <c r="B4" s="768" t="s">
        <v>1682</v>
      </c>
      <c r="C4" s="755"/>
      <c r="D4" s="766"/>
      <c r="E4" s="838"/>
    </row>
    <row customHeight="1" ht="11.25">
      <c r="A5" s="2625"/>
      <c r="B5" s="768" t="s">
        <v>1676</v>
      </c>
      <c r="C5" s="2626" t="s">
        <v>2022</v>
      </c>
      <c r="D5" s="2627" t="s">
        <v>2259</v>
      </c>
      <c r="E5" s="838"/>
    </row>
    <row s="1852" customFormat="1" customHeight="1" ht="11.25">
      <c r="A6" s="2628"/>
      <c r="B6" s="768" t="s">
        <v>1686</v>
      </c>
      <c r="C6" s="755"/>
      <c r="D6" s="766"/>
      <c r="E6" s="838"/>
    </row>
    <row customHeight="1" ht="11.25">
      <c r="A7" s="2629"/>
      <c r="B7" s="768" t="s">
        <v>1693</v>
      </c>
      <c r="C7" s="755"/>
      <c r="D7" s="766"/>
      <c r="E7" s="838"/>
    </row>
    <row customHeight="1" ht="11.25">
      <c r="A8" s="758"/>
      <c r="B8" s="768" t="s">
        <v>1689</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A9FD0D-308B-C8D7-CC2B-0.309C31B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FB242-D79C-F701-44CC-0.EE9AC43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49151A-B488-4079-72B4-0.BEDA4D76}" mc:Ignorable="x14ac xr xr2 xr3">
  <sheetPr>
    <tabColor rgb="FFFFCC99"/>
  </sheetPr>
  <dimension ref="A1:I405"/>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2260</v>
      </c>
      <c r="B1" s="70" t="s">
        <v>2261</v>
      </c>
      <c r="C1" s="70" t="s">
        <v>2262</v>
      </c>
      <c r="D1" s="70" t="s">
        <v>2263</v>
      </c>
      <c r="E1" s="70" t="s">
        <v>2264</v>
      </c>
      <c r="F1" s="70" t="s">
        <v>2265</v>
      </c>
      <c r="G1" s="70" t="s">
        <v>2266</v>
      </c>
      <c r="H1" s="70" t="s">
        <v>2267</v>
      </c>
      <c r="I1" s="70" t="s">
        <v>2268</v>
      </c>
    </row>
    <row customHeight="1" ht="11.25">
      <c r="A2" s="1852" t="s">
        <v>2269</v>
      </c>
      <c r="B2" s="1852" t="s">
        <v>16</v>
      </c>
      <c r="C2" s="1852" t="s">
        <v>2270</v>
      </c>
      <c r="D2" s="1852" t="s">
        <v>2271</v>
      </c>
      <c r="E2" s="1852" t="s">
        <v>2272</v>
      </c>
      <c r="F2" s="1852" t="s">
        <v>2273</v>
      </c>
      <c r="G2" s="1852" t="s">
        <v>2274</v>
      </c>
      <c r="H2" s="1852" t="s">
        <v>28</v>
      </c>
      <c r="I2" s="1852" t="s">
        <v>815</v>
      </c>
    </row>
    <row customHeight="1" ht="11.25">
      <c r="A3" s="1852" t="s">
        <v>2269</v>
      </c>
      <c r="B3" s="1852" t="s">
        <v>16</v>
      </c>
      <c r="C3" s="1852" t="s">
        <v>2275</v>
      </c>
      <c r="D3" s="1852" t="s">
        <v>2276</v>
      </c>
      <c r="E3" s="1852" t="s">
        <v>2277</v>
      </c>
      <c r="F3" s="1852" t="s">
        <v>2278</v>
      </c>
      <c r="G3" s="1852" t="s">
        <v>28</v>
      </c>
      <c r="H3" s="1852" t="s">
        <v>28</v>
      </c>
      <c r="I3" s="1852" t="s">
        <v>815</v>
      </c>
    </row>
    <row customHeight="1" ht="11.25">
      <c r="A4" s="1852" t="s">
        <v>2269</v>
      </c>
      <c r="B4" s="1852" t="s">
        <v>16</v>
      </c>
      <c r="C4" s="1852" t="s">
        <v>2279</v>
      </c>
      <c r="D4" s="1852" t="s">
        <v>2280</v>
      </c>
      <c r="E4" s="1852" t="s">
        <v>2281</v>
      </c>
      <c r="F4" s="1852" t="s">
        <v>2282</v>
      </c>
      <c r="G4" s="1852" t="s">
        <v>2283</v>
      </c>
      <c r="H4" s="1852" t="s">
        <v>28</v>
      </c>
      <c r="I4" s="1852" t="s">
        <v>815</v>
      </c>
    </row>
    <row customHeight="1" ht="11.25">
      <c r="A5" s="1852" t="s">
        <v>2269</v>
      </c>
      <c r="B5" s="1852" t="s">
        <v>16</v>
      </c>
      <c r="C5" s="1852" t="s">
        <v>2284</v>
      </c>
      <c r="D5" s="1852" t="s">
        <v>2285</v>
      </c>
      <c r="E5" s="1852" t="s">
        <v>2286</v>
      </c>
      <c r="F5" s="1852" t="s">
        <v>2287</v>
      </c>
      <c r="G5" s="1852" t="s">
        <v>2288</v>
      </c>
      <c r="H5" s="1852" t="s">
        <v>28</v>
      </c>
      <c r="I5" s="1852" t="s">
        <v>815</v>
      </c>
    </row>
    <row customHeight="1" ht="11.25">
      <c r="A6" s="1852" t="s">
        <v>2269</v>
      </c>
      <c r="B6" s="1852" t="s">
        <v>16</v>
      </c>
      <c r="C6" s="1852" t="s">
        <v>2289</v>
      </c>
      <c r="D6" s="1852" t="s">
        <v>2290</v>
      </c>
      <c r="E6" s="1852" t="s">
        <v>2291</v>
      </c>
      <c r="F6" s="1852" t="s">
        <v>2292</v>
      </c>
      <c r="G6" s="1852" t="s">
        <v>2293</v>
      </c>
      <c r="H6" s="1852" t="s">
        <v>28</v>
      </c>
      <c r="I6" s="1852" t="s">
        <v>815</v>
      </c>
    </row>
    <row customHeight="1" ht="11.25">
      <c r="A7" s="1852" t="s">
        <v>2269</v>
      </c>
      <c r="B7" s="1852" t="s">
        <v>16</v>
      </c>
      <c r="C7" s="1852" t="s">
        <v>2294</v>
      </c>
      <c r="D7" s="1852" t="s">
        <v>2295</v>
      </c>
      <c r="E7" s="1852" t="s">
        <v>2296</v>
      </c>
      <c r="F7" s="1852" t="s">
        <v>2297</v>
      </c>
      <c r="G7" s="1852" t="s">
        <v>2298</v>
      </c>
      <c r="H7" s="1852" t="s">
        <v>28</v>
      </c>
      <c r="I7" s="1852" t="s">
        <v>815</v>
      </c>
    </row>
    <row customHeight="1" ht="11.25">
      <c r="A8" s="1852" t="s">
        <v>2269</v>
      </c>
      <c r="B8" s="1852" t="s">
        <v>16</v>
      </c>
      <c r="C8" s="1852" t="s">
        <v>2299</v>
      </c>
      <c r="D8" s="1852" t="s">
        <v>2300</v>
      </c>
      <c r="E8" s="1852" t="s">
        <v>2301</v>
      </c>
      <c r="F8" s="1852" t="s">
        <v>2302</v>
      </c>
      <c r="G8" s="1852" t="s">
        <v>2303</v>
      </c>
      <c r="H8" s="1852" t="s">
        <v>28</v>
      </c>
      <c r="I8" s="1852" t="s">
        <v>815</v>
      </c>
    </row>
    <row customHeight="1" ht="11.25">
      <c r="A9" s="1852" t="s">
        <v>2269</v>
      </c>
      <c r="B9" s="1852" t="s">
        <v>16</v>
      </c>
      <c r="C9" s="1852" t="s">
        <v>13</v>
      </c>
      <c r="D9" s="1852" t="s">
        <v>48</v>
      </c>
      <c r="E9" s="1852" t="s">
        <v>51</v>
      </c>
      <c r="F9" s="1852" t="s">
        <v>53</v>
      </c>
      <c r="G9" s="1852" t="s">
        <v>28</v>
      </c>
      <c r="H9" s="1852" t="s">
        <v>28</v>
      </c>
      <c r="I9" s="1852" t="s">
        <v>815</v>
      </c>
    </row>
    <row customHeight="1" ht="11.25">
      <c r="A10" s="1852" t="s">
        <v>2269</v>
      </c>
      <c r="B10" s="1852" t="s">
        <v>16</v>
      </c>
      <c r="C10" s="1852" t="s">
        <v>2304</v>
      </c>
      <c r="D10" s="1852" t="s">
        <v>2305</v>
      </c>
      <c r="E10" s="1852" t="s">
        <v>2306</v>
      </c>
      <c r="F10" s="1852" t="s">
        <v>2307</v>
      </c>
      <c r="G10" s="1852" t="s">
        <v>28</v>
      </c>
      <c r="H10" s="1852" t="s">
        <v>28</v>
      </c>
      <c r="I10" s="1852" t="s">
        <v>815</v>
      </c>
    </row>
    <row customHeight="1" ht="11.25">
      <c r="A11" s="1852" t="s">
        <v>2269</v>
      </c>
      <c r="B11" s="1852" t="s">
        <v>16</v>
      </c>
      <c r="C11" s="1852" t="s">
        <v>2308</v>
      </c>
      <c r="D11" s="1852" t="s">
        <v>2309</v>
      </c>
      <c r="E11" s="1852" t="s">
        <v>2310</v>
      </c>
      <c r="F11" s="1852" t="s">
        <v>2311</v>
      </c>
      <c r="G11" s="1852" t="s">
        <v>2312</v>
      </c>
      <c r="H11" s="1852" t="s">
        <v>28</v>
      </c>
      <c r="I11" s="1852" t="s">
        <v>815</v>
      </c>
    </row>
    <row customHeight="1" ht="11.25">
      <c r="A12" s="1852" t="s">
        <v>2269</v>
      </c>
      <c r="B12" s="1852" t="s">
        <v>16</v>
      </c>
      <c r="C12" s="1852" t="s">
        <v>2313</v>
      </c>
      <c r="D12" s="1852" t="s">
        <v>2314</v>
      </c>
      <c r="E12" s="1852" t="s">
        <v>2315</v>
      </c>
      <c r="F12" s="1852" t="s">
        <v>2316</v>
      </c>
      <c r="G12" s="1852" t="s">
        <v>2317</v>
      </c>
      <c r="H12" s="1852" t="s">
        <v>28</v>
      </c>
      <c r="I12" s="1852" t="s">
        <v>815</v>
      </c>
    </row>
    <row customHeight="1" ht="11.25">
      <c r="A13" s="1852" t="s">
        <v>2269</v>
      </c>
      <c r="B13" s="1852" t="s">
        <v>16</v>
      </c>
      <c r="C13" s="1852" t="s">
        <v>28</v>
      </c>
      <c r="D13" s="1852" t="s">
        <v>2318</v>
      </c>
      <c r="E13" s="1852" t="s">
        <v>2319</v>
      </c>
      <c r="F13" s="1852" t="s">
        <v>2311</v>
      </c>
      <c r="G13" s="1852" t="s">
        <v>28</v>
      </c>
      <c r="H13" s="1852" t="s">
        <v>28</v>
      </c>
      <c r="I13" s="1852" t="s">
        <v>815</v>
      </c>
    </row>
    <row customHeight="1" ht="11.25">
      <c r="A14" s="1852" t="s">
        <v>2269</v>
      </c>
      <c r="B14" s="1852" t="s">
        <v>16</v>
      </c>
      <c r="C14" s="1852" t="s">
        <v>2320</v>
      </c>
      <c r="D14" s="1852" t="s">
        <v>2321</v>
      </c>
      <c r="E14" s="1852" t="s">
        <v>2286</v>
      </c>
      <c r="F14" s="1852" t="s">
        <v>2311</v>
      </c>
      <c r="G14" s="1852" t="s">
        <v>28</v>
      </c>
      <c r="H14" s="1852" t="s">
        <v>28</v>
      </c>
      <c r="I14" s="1852" t="s">
        <v>815</v>
      </c>
    </row>
    <row customHeight="1" ht="11.25">
      <c r="A15" s="1852" t="s">
        <v>2269</v>
      </c>
      <c r="B15" s="1852" t="s">
        <v>16</v>
      </c>
      <c r="C15" s="1852" t="s">
        <v>2322</v>
      </c>
      <c r="D15" s="1852" t="s">
        <v>2323</v>
      </c>
      <c r="E15" s="1852" t="s">
        <v>2324</v>
      </c>
      <c r="F15" s="1852" t="s">
        <v>2287</v>
      </c>
      <c r="G15" s="1852" t="s">
        <v>2325</v>
      </c>
      <c r="H15" s="1852" t="s">
        <v>28</v>
      </c>
      <c r="I15" s="1852" t="s">
        <v>815</v>
      </c>
    </row>
    <row customHeight="1" ht="11.25">
      <c r="A16" s="1852" t="s">
        <v>2269</v>
      </c>
      <c r="B16" s="1852" t="s">
        <v>16</v>
      </c>
      <c r="C16" s="1852" t="s">
        <v>2326</v>
      </c>
      <c r="D16" s="1852" t="s">
        <v>2327</v>
      </c>
      <c r="E16" s="1852" t="s">
        <v>2328</v>
      </c>
      <c r="F16" s="1852" t="s">
        <v>2311</v>
      </c>
      <c r="G16" s="1852" t="s">
        <v>2329</v>
      </c>
      <c r="H16" s="1852" t="s">
        <v>28</v>
      </c>
      <c r="I16" s="1852" t="s">
        <v>815</v>
      </c>
    </row>
    <row customHeight="1" ht="11.25">
      <c r="A17" s="1852" t="s">
        <v>2269</v>
      </c>
      <c r="B17" s="1852" t="s">
        <v>16</v>
      </c>
      <c r="C17" s="1852" t="s">
        <v>2330</v>
      </c>
      <c r="D17" s="1852" t="s">
        <v>2331</v>
      </c>
      <c r="E17" s="1852" t="s">
        <v>2332</v>
      </c>
      <c r="F17" s="1852" t="s">
        <v>2333</v>
      </c>
      <c r="G17" s="1852" t="s">
        <v>28</v>
      </c>
      <c r="H17" s="1852" t="s">
        <v>28</v>
      </c>
      <c r="I17" s="1852" t="s">
        <v>815</v>
      </c>
    </row>
    <row customHeight="1" ht="11.25">
      <c r="A18" s="1852" t="s">
        <v>2269</v>
      </c>
      <c r="B18" s="1852" t="s">
        <v>16</v>
      </c>
      <c r="C18" s="1852" t="s">
        <v>2334</v>
      </c>
      <c r="D18" s="1852" t="s">
        <v>2335</v>
      </c>
      <c r="E18" s="1852" t="s">
        <v>2336</v>
      </c>
      <c r="F18" s="1852" t="s">
        <v>583</v>
      </c>
      <c r="G18" s="1852" t="s">
        <v>2337</v>
      </c>
      <c r="H18" s="1852" t="s">
        <v>28</v>
      </c>
      <c r="I18" s="1852" t="s">
        <v>815</v>
      </c>
    </row>
    <row customHeight="1" ht="11.25">
      <c r="A19" s="1852" t="s">
        <v>2269</v>
      </c>
      <c r="B19" s="1852" t="s">
        <v>16</v>
      </c>
      <c r="C19" s="1852" t="s">
        <v>2338</v>
      </c>
      <c r="D19" s="1852" t="s">
        <v>2339</v>
      </c>
      <c r="E19" s="1852" t="s">
        <v>2340</v>
      </c>
      <c r="F19" s="1852" t="s">
        <v>583</v>
      </c>
      <c r="G19" s="1852" t="s">
        <v>2341</v>
      </c>
      <c r="H19" s="1852" t="s">
        <v>28</v>
      </c>
      <c r="I19" s="1852" t="s">
        <v>815</v>
      </c>
    </row>
    <row customHeight="1" ht="11.25">
      <c r="A20" s="1852" t="s">
        <v>2269</v>
      </c>
      <c r="B20" s="1852" t="s">
        <v>16</v>
      </c>
      <c r="C20" s="1852" t="s">
        <v>2342</v>
      </c>
      <c r="D20" s="1852" t="s">
        <v>2343</v>
      </c>
      <c r="E20" s="1852" t="s">
        <v>2344</v>
      </c>
      <c r="F20" s="1852" t="s">
        <v>583</v>
      </c>
      <c r="G20" s="1852" t="s">
        <v>2345</v>
      </c>
      <c r="H20" s="1852" t="s">
        <v>2346</v>
      </c>
      <c r="I20" s="1852" t="s">
        <v>815</v>
      </c>
    </row>
    <row customHeight="1" ht="11.25">
      <c r="A21" s="1852" t="s">
        <v>2269</v>
      </c>
      <c r="B21" s="1852" t="s">
        <v>16</v>
      </c>
      <c r="C21" s="1852" t="s">
        <v>2347</v>
      </c>
      <c r="D21" s="1852" t="s">
        <v>2348</v>
      </c>
      <c r="E21" s="1852" t="s">
        <v>2349</v>
      </c>
      <c r="F21" s="1852" t="s">
        <v>583</v>
      </c>
      <c r="G21" s="1852" t="s">
        <v>2350</v>
      </c>
      <c r="H21" s="1852" t="s">
        <v>28</v>
      </c>
      <c r="I21" s="1852" t="s">
        <v>815</v>
      </c>
    </row>
    <row customHeight="1" ht="11.25">
      <c r="A22" s="1852" t="s">
        <v>2269</v>
      </c>
      <c r="B22" s="1852" t="s">
        <v>16</v>
      </c>
      <c r="C22" s="1852" t="s">
        <v>2351</v>
      </c>
      <c r="D22" s="1852" t="s">
        <v>2352</v>
      </c>
      <c r="E22" s="1852" t="s">
        <v>2353</v>
      </c>
      <c r="F22" s="1852" t="s">
        <v>2354</v>
      </c>
      <c r="G22" s="1852" t="s">
        <v>28</v>
      </c>
      <c r="H22" s="1852" t="s">
        <v>28</v>
      </c>
      <c r="I22" s="1852" t="s">
        <v>815</v>
      </c>
    </row>
    <row customHeight="1" ht="11.25">
      <c r="A23" s="1852" t="s">
        <v>2269</v>
      </c>
      <c r="B23" s="1852" t="s">
        <v>16</v>
      </c>
      <c r="C23" s="1852" t="s">
        <v>2355</v>
      </c>
      <c r="D23" s="1852" t="s">
        <v>2356</v>
      </c>
      <c r="E23" s="1852" t="s">
        <v>2357</v>
      </c>
      <c r="F23" s="1852" t="s">
        <v>2297</v>
      </c>
      <c r="G23" s="1852" t="s">
        <v>2358</v>
      </c>
      <c r="H23" s="1852" t="s">
        <v>28</v>
      </c>
      <c r="I23" s="1852" t="s">
        <v>815</v>
      </c>
    </row>
    <row customHeight="1" ht="11.25">
      <c r="A24" s="1852" t="s">
        <v>2269</v>
      </c>
      <c r="B24" s="1852" t="s">
        <v>16</v>
      </c>
      <c r="C24" s="1852" t="s">
        <v>2359</v>
      </c>
      <c r="D24" s="1852" t="s">
        <v>2360</v>
      </c>
      <c r="E24" s="1852" t="s">
        <v>2361</v>
      </c>
      <c r="F24" s="1852" t="s">
        <v>2297</v>
      </c>
      <c r="G24" s="1852" t="s">
        <v>28</v>
      </c>
      <c r="H24" s="1852" t="s">
        <v>28</v>
      </c>
      <c r="I24" s="1852" t="s">
        <v>815</v>
      </c>
    </row>
    <row customHeight="1" ht="11.25">
      <c r="A25" s="1852" t="s">
        <v>2269</v>
      </c>
      <c r="B25" s="1852" t="s">
        <v>16</v>
      </c>
      <c r="C25" s="1852" t="s">
        <v>2362</v>
      </c>
      <c r="D25" s="1852" t="s">
        <v>2363</v>
      </c>
      <c r="E25" s="1852" t="s">
        <v>2364</v>
      </c>
      <c r="F25" s="1852" t="s">
        <v>2311</v>
      </c>
      <c r="G25" s="1852" t="s">
        <v>28</v>
      </c>
      <c r="H25" s="1852" t="s">
        <v>28</v>
      </c>
      <c r="I25" s="1852" t="s">
        <v>815</v>
      </c>
    </row>
    <row customHeight="1" ht="11.25">
      <c r="A26" s="1852" t="s">
        <v>2269</v>
      </c>
      <c r="B26" s="1852" t="s">
        <v>16</v>
      </c>
      <c r="C26" s="1852" t="s">
        <v>2365</v>
      </c>
      <c r="D26" s="1852" t="s">
        <v>2366</v>
      </c>
      <c r="E26" s="1852" t="s">
        <v>2367</v>
      </c>
      <c r="F26" s="1852" t="s">
        <v>2368</v>
      </c>
      <c r="G26" s="1852" t="s">
        <v>28</v>
      </c>
      <c r="H26" s="1852" t="s">
        <v>28</v>
      </c>
      <c r="I26" s="1852" t="s">
        <v>815</v>
      </c>
    </row>
    <row customHeight="1" ht="11.25">
      <c r="A27" s="1852" t="s">
        <v>2269</v>
      </c>
      <c r="B27" s="1852" t="s">
        <v>16</v>
      </c>
      <c r="C27" s="1852" t="s">
        <v>2369</v>
      </c>
      <c r="D27" s="1852" t="s">
        <v>2370</v>
      </c>
      <c r="E27" s="1852" t="s">
        <v>2371</v>
      </c>
      <c r="F27" s="1852" t="s">
        <v>2372</v>
      </c>
      <c r="G27" s="1852" t="s">
        <v>2373</v>
      </c>
      <c r="H27" s="1852" t="s">
        <v>28</v>
      </c>
      <c r="I27" s="1852" t="s">
        <v>815</v>
      </c>
    </row>
    <row customHeight="1" ht="11.25">
      <c r="A28" s="1852" t="s">
        <v>2269</v>
      </c>
      <c r="B28" s="1852" t="s">
        <v>16</v>
      </c>
      <c r="C28" s="1852" t="s">
        <v>2374</v>
      </c>
      <c r="D28" s="1852" t="s">
        <v>2375</v>
      </c>
      <c r="E28" s="1852" t="s">
        <v>2376</v>
      </c>
      <c r="F28" s="1852" t="s">
        <v>2368</v>
      </c>
      <c r="G28" s="1852" t="s">
        <v>2377</v>
      </c>
      <c r="H28" s="1852" t="s">
        <v>28</v>
      </c>
      <c r="I28" s="1852" t="s">
        <v>815</v>
      </c>
    </row>
    <row customHeight="1" ht="11.25">
      <c r="A29" s="1852" t="s">
        <v>2269</v>
      </c>
      <c r="B29" s="1852" t="s">
        <v>16</v>
      </c>
      <c r="C29" s="1852" t="s">
        <v>2378</v>
      </c>
      <c r="D29" s="1852" t="s">
        <v>2379</v>
      </c>
      <c r="E29" s="1852" t="s">
        <v>2380</v>
      </c>
      <c r="F29" s="1852" t="s">
        <v>2381</v>
      </c>
      <c r="G29" s="1852" t="s">
        <v>2382</v>
      </c>
      <c r="H29" s="1852" t="s">
        <v>28</v>
      </c>
      <c r="I29" s="1852" t="s">
        <v>815</v>
      </c>
    </row>
    <row customHeight="1" ht="11.25">
      <c r="A30" s="1852" t="s">
        <v>2269</v>
      </c>
      <c r="B30" s="1852" t="s">
        <v>16</v>
      </c>
      <c r="C30" s="1852" t="s">
        <v>2383</v>
      </c>
      <c r="D30" s="1852" t="s">
        <v>2384</v>
      </c>
      <c r="E30" s="1852" t="s">
        <v>2385</v>
      </c>
      <c r="F30" s="1852" t="s">
        <v>2386</v>
      </c>
      <c r="G30" s="1852" t="s">
        <v>2387</v>
      </c>
      <c r="H30" s="1852" t="s">
        <v>28</v>
      </c>
      <c r="I30" s="1852" t="s">
        <v>815</v>
      </c>
    </row>
    <row customHeight="1" ht="11.25">
      <c r="A31" s="1852" t="s">
        <v>2269</v>
      </c>
      <c r="B31" s="1852" t="s">
        <v>16</v>
      </c>
      <c r="C31" s="1852" t="s">
        <v>2388</v>
      </c>
      <c r="D31" s="1852" t="s">
        <v>2389</v>
      </c>
      <c r="E31" s="1852" t="s">
        <v>2390</v>
      </c>
      <c r="F31" s="1852" t="s">
        <v>2372</v>
      </c>
      <c r="G31" s="1852" t="s">
        <v>2391</v>
      </c>
      <c r="H31" s="1852" t="s">
        <v>28</v>
      </c>
      <c r="I31" s="1852" t="s">
        <v>815</v>
      </c>
    </row>
    <row customHeight="1" ht="11.25">
      <c r="A32" s="1852" t="s">
        <v>2269</v>
      </c>
      <c r="B32" s="1852" t="s">
        <v>16</v>
      </c>
      <c r="C32" s="1852" t="s">
        <v>2392</v>
      </c>
      <c r="D32" s="1852" t="s">
        <v>2393</v>
      </c>
      <c r="E32" s="1852" t="s">
        <v>2394</v>
      </c>
      <c r="F32" s="1852" t="s">
        <v>2368</v>
      </c>
      <c r="G32" s="1852" t="s">
        <v>2395</v>
      </c>
      <c r="H32" s="1852" t="s">
        <v>28</v>
      </c>
      <c r="I32" s="1852" t="s">
        <v>815</v>
      </c>
    </row>
    <row customHeight="1" ht="11.25">
      <c r="A33" s="1852" t="s">
        <v>2269</v>
      </c>
      <c r="B33" s="1852" t="s">
        <v>16</v>
      </c>
      <c r="C33" s="1852" t="s">
        <v>2396</v>
      </c>
      <c r="D33" s="1852" t="s">
        <v>2397</v>
      </c>
      <c r="E33" s="1852" t="s">
        <v>2398</v>
      </c>
      <c r="F33" s="1852" t="s">
        <v>2399</v>
      </c>
      <c r="G33" s="1852" t="s">
        <v>2400</v>
      </c>
      <c r="H33" s="1852" t="s">
        <v>28</v>
      </c>
      <c r="I33" s="1852" t="s">
        <v>815</v>
      </c>
    </row>
    <row customHeight="1" ht="11.25">
      <c r="A34" s="1852" t="s">
        <v>2269</v>
      </c>
      <c r="B34" s="1852" t="s">
        <v>16</v>
      </c>
      <c r="C34" s="1852" t="s">
        <v>2401</v>
      </c>
      <c r="D34" s="1852" t="s">
        <v>2402</v>
      </c>
      <c r="E34" s="1852" t="s">
        <v>2403</v>
      </c>
      <c r="F34" s="1852" t="s">
        <v>2404</v>
      </c>
      <c r="G34" s="1852" t="s">
        <v>28</v>
      </c>
      <c r="H34" s="1852" t="s">
        <v>28</v>
      </c>
      <c r="I34" s="1852" t="s">
        <v>815</v>
      </c>
    </row>
    <row customHeight="1" ht="11.25">
      <c r="A35" s="1852" t="s">
        <v>2269</v>
      </c>
      <c r="B35" s="1852" t="s">
        <v>16</v>
      </c>
      <c r="C35" s="1852" t="s">
        <v>2405</v>
      </c>
      <c r="D35" s="1852" t="s">
        <v>2406</v>
      </c>
      <c r="E35" s="1852" t="s">
        <v>2407</v>
      </c>
      <c r="F35" s="1852" t="s">
        <v>2408</v>
      </c>
      <c r="G35" s="1852" t="s">
        <v>28</v>
      </c>
      <c r="H35" s="1852" t="s">
        <v>28</v>
      </c>
      <c r="I35" s="1852" t="s">
        <v>815</v>
      </c>
    </row>
    <row customHeight="1" ht="11.25">
      <c r="A36" s="1852" t="s">
        <v>2269</v>
      </c>
      <c r="B36" s="1852" t="s">
        <v>16</v>
      </c>
      <c r="C36" s="1852" t="s">
        <v>2409</v>
      </c>
      <c r="D36" s="1852" t="s">
        <v>2410</v>
      </c>
      <c r="E36" s="1852" t="s">
        <v>2411</v>
      </c>
      <c r="F36" s="1852" t="s">
        <v>2278</v>
      </c>
      <c r="G36" s="1852" t="s">
        <v>2412</v>
      </c>
      <c r="H36" s="1852" t="s">
        <v>28</v>
      </c>
      <c r="I36" s="1852" t="s">
        <v>815</v>
      </c>
    </row>
    <row customHeight="1" ht="11.25">
      <c r="A37" s="1852" t="s">
        <v>2269</v>
      </c>
      <c r="B37" s="1852" t="s">
        <v>16</v>
      </c>
      <c r="C37" s="1852" t="s">
        <v>2413</v>
      </c>
      <c r="D37" s="1852" t="s">
        <v>2414</v>
      </c>
      <c r="E37" s="1852" t="s">
        <v>2415</v>
      </c>
      <c r="F37" s="1852" t="s">
        <v>2416</v>
      </c>
      <c r="G37" s="1852" t="s">
        <v>2417</v>
      </c>
      <c r="H37" s="1852" t="s">
        <v>28</v>
      </c>
      <c r="I37" s="1852" t="s">
        <v>815</v>
      </c>
    </row>
    <row customHeight="1" ht="11.25">
      <c r="A38" s="1852" t="s">
        <v>2269</v>
      </c>
      <c r="B38" s="1852" t="s">
        <v>16</v>
      </c>
      <c r="C38" s="1852" t="s">
        <v>2418</v>
      </c>
      <c r="D38" s="1852" t="s">
        <v>2419</v>
      </c>
      <c r="E38" s="1852" t="s">
        <v>2420</v>
      </c>
      <c r="F38" s="1852" t="s">
        <v>2421</v>
      </c>
      <c r="G38" s="1852" t="s">
        <v>2422</v>
      </c>
      <c r="H38" s="1852" t="s">
        <v>28</v>
      </c>
      <c r="I38" s="1852" t="s">
        <v>815</v>
      </c>
    </row>
    <row customHeight="1" ht="11.25">
      <c r="A39" s="1852" t="s">
        <v>2269</v>
      </c>
      <c r="B39" s="1852" t="s">
        <v>16</v>
      </c>
      <c r="C39" s="1852" t="s">
        <v>2423</v>
      </c>
      <c r="D39" s="1852" t="s">
        <v>2424</v>
      </c>
      <c r="E39" s="1852" t="s">
        <v>2425</v>
      </c>
      <c r="F39" s="1852" t="s">
        <v>2354</v>
      </c>
      <c r="G39" s="1852" t="s">
        <v>2426</v>
      </c>
      <c r="H39" s="1852" t="s">
        <v>28</v>
      </c>
      <c r="I39" s="1852" t="s">
        <v>815</v>
      </c>
    </row>
    <row customHeight="1" ht="11.25">
      <c r="A40" s="1852" t="s">
        <v>2269</v>
      </c>
      <c r="B40" s="1852" t="s">
        <v>16</v>
      </c>
      <c r="C40" s="1852" t="s">
        <v>2427</v>
      </c>
      <c r="D40" s="1852" t="s">
        <v>2428</v>
      </c>
      <c r="E40" s="1852" t="s">
        <v>2429</v>
      </c>
      <c r="F40" s="1852" t="s">
        <v>2430</v>
      </c>
      <c r="G40" s="1852" t="s">
        <v>2431</v>
      </c>
      <c r="H40" s="1852" t="s">
        <v>2432</v>
      </c>
      <c r="I40" s="1852" t="s">
        <v>815</v>
      </c>
    </row>
    <row customHeight="1" ht="11.25">
      <c r="A41" s="1852" t="s">
        <v>2269</v>
      </c>
      <c r="B41" s="1852" t="s">
        <v>16</v>
      </c>
      <c r="C41" s="1852" t="s">
        <v>2433</v>
      </c>
      <c r="D41" s="1852" t="s">
        <v>2434</v>
      </c>
      <c r="E41" s="1852" t="s">
        <v>2435</v>
      </c>
      <c r="F41" s="1852" t="s">
        <v>2436</v>
      </c>
      <c r="G41" s="1852" t="s">
        <v>2437</v>
      </c>
      <c r="H41" s="1852" t="s">
        <v>28</v>
      </c>
      <c r="I41" s="1852" t="s">
        <v>815</v>
      </c>
    </row>
    <row customHeight="1" ht="11.25">
      <c r="A42" s="1852" t="s">
        <v>2269</v>
      </c>
      <c r="B42" s="1852" t="s">
        <v>16</v>
      </c>
      <c r="C42" s="1852" t="s">
        <v>2438</v>
      </c>
      <c r="D42" s="1852" t="s">
        <v>2439</v>
      </c>
      <c r="E42" s="1852" t="s">
        <v>2440</v>
      </c>
      <c r="F42" s="1852" t="s">
        <v>2292</v>
      </c>
      <c r="G42" s="1852" t="s">
        <v>2441</v>
      </c>
      <c r="H42" s="1852" t="s">
        <v>28</v>
      </c>
      <c r="I42" s="1852" t="s">
        <v>815</v>
      </c>
    </row>
    <row customHeight="1" ht="11.25">
      <c r="A43" s="1852" t="s">
        <v>2269</v>
      </c>
      <c r="B43" s="1852" t="s">
        <v>16</v>
      </c>
      <c r="C43" s="1852" t="s">
        <v>2442</v>
      </c>
      <c r="D43" s="1852" t="s">
        <v>2443</v>
      </c>
      <c r="E43" s="1852" t="s">
        <v>2444</v>
      </c>
      <c r="F43" s="1852" t="s">
        <v>2372</v>
      </c>
      <c r="G43" s="1852" t="s">
        <v>28</v>
      </c>
      <c r="H43" s="1852" t="s">
        <v>28</v>
      </c>
      <c r="I43" s="1852" t="s">
        <v>815</v>
      </c>
    </row>
    <row customHeight="1" ht="11.25">
      <c r="A44" s="1852" t="s">
        <v>2269</v>
      </c>
      <c r="B44" s="1852" t="s">
        <v>16</v>
      </c>
      <c r="C44" s="1852" t="s">
        <v>2445</v>
      </c>
      <c r="D44" s="1852" t="s">
        <v>2446</v>
      </c>
      <c r="E44" s="1852" t="s">
        <v>2447</v>
      </c>
      <c r="F44" s="1852" t="s">
        <v>2368</v>
      </c>
      <c r="G44" s="1852" t="s">
        <v>28</v>
      </c>
      <c r="H44" s="1852" t="s">
        <v>28</v>
      </c>
      <c r="I44" s="1852" t="s">
        <v>815</v>
      </c>
    </row>
    <row customHeight="1" ht="11.25">
      <c r="A45" s="1852" t="s">
        <v>2269</v>
      </c>
      <c r="B45" s="1852" t="s">
        <v>16</v>
      </c>
      <c r="C45" s="1852" t="s">
        <v>2448</v>
      </c>
      <c r="D45" s="1852" t="s">
        <v>2449</v>
      </c>
      <c r="E45" s="1852" t="s">
        <v>2450</v>
      </c>
      <c r="F45" s="1852" t="s">
        <v>2451</v>
      </c>
      <c r="G45" s="1852" t="s">
        <v>28</v>
      </c>
      <c r="H45" s="1852" t="s">
        <v>28</v>
      </c>
      <c r="I45" s="1852" t="s">
        <v>815</v>
      </c>
    </row>
    <row customHeight="1" ht="11.25">
      <c r="A46" s="1852" t="s">
        <v>2269</v>
      </c>
      <c r="B46" s="1852" t="s">
        <v>16</v>
      </c>
      <c r="C46" s="1852" t="s">
        <v>2452</v>
      </c>
      <c r="D46" s="1852" t="s">
        <v>2453</v>
      </c>
      <c r="E46" s="1852" t="s">
        <v>2454</v>
      </c>
      <c r="F46" s="1852" t="s">
        <v>2368</v>
      </c>
      <c r="G46" s="1852" t="s">
        <v>28</v>
      </c>
      <c r="H46" s="1852" t="s">
        <v>28</v>
      </c>
      <c r="I46" s="1852" t="s">
        <v>815</v>
      </c>
    </row>
    <row customHeight="1" ht="11.25">
      <c r="A47" s="1852" t="s">
        <v>2269</v>
      </c>
      <c r="B47" s="1852" t="s">
        <v>16</v>
      </c>
      <c r="C47" s="1852" t="s">
        <v>2455</v>
      </c>
      <c r="D47" s="1852" t="s">
        <v>2456</v>
      </c>
      <c r="E47" s="1852" t="s">
        <v>2457</v>
      </c>
      <c r="F47" s="1852" t="s">
        <v>2451</v>
      </c>
      <c r="G47" s="1852" t="s">
        <v>28</v>
      </c>
      <c r="H47" s="1852" t="s">
        <v>28</v>
      </c>
      <c r="I47" s="1852" t="s">
        <v>815</v>
      </c>
    </row>
    <row customHeight="1" ht="11.25">
      <c r="A48" s="1852" t="s">
        <v>2269</v>
      </c>
      <c r="B48" s="1852" t="s">
        <v>16</v>
      </c>
      <c r="C48" s="1852" t="s">
        <v>2458</v>
      </c>
      <c r="D48" s="1852" t="s">
        <v>2459</v>
      </c>
      <c r="E48" s="1852" t="s">
        <v>2460</v>
      </c>
      <c r="F48" s="1852" t="s">
        <v>2461</v>
      </c>
      <c r="G48" s="1852" t="s">
        <v>2462</v>
      </c>
      <c r="H48" s="1852" t="s">
        <v>28</v>
      </c>
      <c r="I48" s="1852" t="s">
        <v>815</v>
      </c>
    </row>
    <row customHeight="1" ht="11.25">
      <c r="A49" s="1852" t="s">
        <v>2269</v>
      </c>
      <c r="B49" s="1852" t="s">
        <v>16</v>
      </c>
      <c r="C49" s="1852" t="s">
        <v>2463</v>
      </c>
      <c r="D49" s="1852" t="s">
        <v>2464</v>
      </c>
      <c r="E49" s="1852" t="s">
        <v>2465</v>
      </c>
      <c r="F49" s="1852" t="s">
        <v>2354</v>
      </c>
      <c r="G49" s="1852" t="s">
        <v>28</v>
      </c>
      <c r="H49" s="1852" t="s">
        <v>28</v>
      </c>
      <c r="I49" s="1852" t="s">
        <v>815</v>
      </c>
    </row>
    <row customHeight="1" ht="11.25">
      <c r="A50" s="1852" t="s">
        <v>2269</v>
      </c>
      <c r="B50" s="1852" t="s">
        <v>16</v>
      </c>
      <c r="C50" s="1852" t="s">
        <v>2466</v>
      </c>
      <c r="D50" s="1852" t="s">
        <v>2467</v>
      </c>
      <c r="E50" s="1852" t="s">
        <v>2468</v>
      </c>
      <c r="F50" s="1852" t="s">
        <v>2368</v>
      </c>
      <c r="G50" s="1852" t="s">
        <v>28</v>
      </c>
      <c r="H50" s="1852" t="s">
        <v>28</v>
      </c>
      <c r="I50" s="1852" t="s">
        <v>815</v>
      </c>
    </row>
    <row customHeight="1" ht="11.25">
      <c r="A51" s="1852" t="s">
        <v>2269</v>
      </c>
      <c r="B51" s="1852" t="s">
        <v>16</v>
      </c>
      <c r="C51" s="1852" t="s">
        <v>2469</v>
      </c>
      <c r="D51" s="1852" t="s">
        <v>2470</v>
      </c>
      <c r="E51" s="1852" t="s">
        <v>2471</v>
      </c>
      <c r="F51" s="1852" t="s">
        <v>2368</v>
      </c>
      <c r="G51" s="1852" t="s">
        <v>28</v>
      </c>
      <c r="H51" s="1852" t="s">
        <v>28</v>
      </c>
      <c r="I51" s="1852" t="s">
        <v>815</v>
      </c>
    </row>
    <row customHeight="1" ht="11.25">
      <c r="A52" s="1852" t="s">
        <v>2269</v>
      </c>
      <c r="B52" s="1852" t="s">
        <v>16</v>
      </c>
      <c r="C52" s="1852" t="s">
        <v>2472</v>
      </c>
      <c r="D52" s="1852" t="s">
        <v>2473</v>
      </c>
      <c r="E52" s="1852" t="s">
        <v>2474</v>
      </c>
      <c r="F52" s="1852" t="s">
        <v>2278</v>
      </c>
      <c r="G52" s="1852" t="s">
        <v>2475</v>
      </c>
      <c r="H52" s="1852" t="s">
        <v>28</v>
      </c>
      <c r="I52" s="1852" t="s">
        <v>815</v>
      </c>
    </row>
    <row customHeight="1" ht="11.25">
      <c r="A53" s="1852" t="s">
        <v>2269</v>
      </c>
      <c r="B53" s="1852" t="s">
        <v>16</v>
      </c>
      <c r="C53" s="1852" t="s">
        <v>2476</v>
      </c>
      <c r="D53" s="1852" t="s">
        <v>2477</v>
      </c>
      <c r="E53" s="1852" t="s">
        <v>2478</v>
      </c>
      <c r="F53" s="1852" t="s">
        <v>2282</v>
      </c>
      <c r="G53" s="1852" t="s">
        <v>28</v>
      </c>
      <c r="H53" s="1852" t="s">
        <v>28</v>
      </c>
      <c r="I53" s="1852" t="s">
        <v>815</v>
      </c>
    </row>
    <row customHeight="1" ht="11.25">
      <c r="A54" s="1852" t="s">
        <v>2269</v>
      </c>
      <c r="B54" s="1852" t="s">
        <v>16</v>
      </c>
      <c r="C54" s="1852" t="s">
        <v>2479</v>
      </c>
      <c r="D54" s="1852" t="s">
        <v>2480</v>
      </c>
      <c r="E54" s="1852" t="s">
        <v>2481</v>
      </c>
      <c r="F54" s="1852" t="s">
        <v>2482</v>
      </c>
      <c r="G54" s="1852" t="s">
        <v>28</v>
      </c>
      <c r="H54" s="1852" t="s">
        <v>28</v>
      </c>
      <c r="I54" s="1852" t="s">
        <v>815</v>
      </c>
    </row>
    <row customHeight="1" ht="11.25">
      <c r="A55" s="1852" t="s">
        <v>2269</v>
      </c>
      <c r="B55" s="1852" t="s">
        <v>16</v>
      </c>
      <c r="C55" s="1852" t="s">
        <v>2483</v>
      </c>
      <c r="D55" s="1852" t="s">
        <v>2484</v>
      </c>
      <c r="E55" s="1852" t="s">
        <v>2485</v>
      </c>
      <c r="F55" s="1852" t="s">
        <v>2297</v>
      </c>
      <c r="G55" s="1852" t="s">
        <v>28</v>
      </c>
      <c r="H55" s="1852" t="s">
        <v>28</v>
      </c>
      <c r="I55" s="1852" t="s">
        <v>815</v>
      </c>
    </row>
    <row customHeight="1" ht="11.25">
      <c r="A56" s="1852" t="s">
        <v>2269</v>
      </c>
      <c r="B56" s="1852" t="s">
        <v>16</v>
      </c>
      <c r="C56" s="1852" t="s">
        <v>2486</v>
      </c>
      <c r="D56" s="1852" t="s">
        <v>2487</v>
      </c>
      <c r="E56" s="1852" t="s">
        <v>2488</v>
      </c>
      <c r="F56" s="1852" t="s">
        <v>2482</v>
      </c>
      <c r="G56" s="1852" t="s">
        <v>28</v>
      </c>
      <c r="H56" s="1852" t="s">
        <v>28</v>
      </c>
      <c r="I56" s="1852" t="s">
        <v>815</v>
      </c>
    </row>
    <row customHeight="1" ht="11.25">
      <c r="A57" s="1852" t="s">
        <v>2269</v>
      </c>
      <c r="B57" s="1852" t="s">
        <v>16</v>
      </c>
      <c r="C57" s="1852" t="s">
        <v>2489</v>
      </c>
      <c r="D57" s="1852" t="s">
        <v>2490</v>
      </c>
      <c r="E57" s="1852" t="s">
        <v>2491</v>
      </c>
      <c r="F57" s="1852" t="s">
        <v>2408</v>
      </c>
      <c r="G57" s="1852" t="s">
        <v>2492</v>
      </c>
      <c r="H57" s="1852" t="s">
        <v>2493</v>
      </c>
      <c r="I57" s="1852" t="s">
        <v>815</v>
      </c>
    </row>
    <row customHeight="1" ht="11.25">
      <c r="A58" s="1852" t="s">
        <v>2269</v>
      </c>
      <c r="B58" s="1852" t="s">
        <v>16</v>
      </c>
      <c r="C58" s="1852" t="s">
        <v>2494</v>
      </c>
      <c r="D58" s="1852" t="s">
        <v>2495</v>
      </c>
      <c r="E58" s="1852" t="s">
        <v>2496</v>
      </c>
      <c r="F58" s="1852" t="s">
        <v>2497</v>
      </c>
      <c r="G58" s="1852" t="s">
        <v>28</v>
      </c>
      <c r="H58" s="1852" t="s">
        <v>28</v>
      </c>
      <c r="I58" s="1852" t="s">
        <v>815</v>
      </c>
    </row>
    <row customHeight="1" ht="11.25">
      <c r="A59" s="1852" t="s">
        <v>2269</v>
      </c>
      <c r="B59" s="1852" t="s">
        <v>16</v>
      </c>
      <c r="C59" s="1852" t="s">
        <v>2498</v>
      </c>
      <c r="D59" s="1852" t="s">
        <v>2499</v>
      </c>
      <c r="E59" s="1852" t="s">
        <v>2500</v>
      </c>
      <c r="F59" s="1852" t="s">
        <v>2287</v>
      </c>
      <c r="G59" s="1852" t="s">
        <v>2501</v>
      </c>
      <c r="H59" s="1852" t="s">
        <v>28</v>
      </c>
      <c r="I59" s="1852" t="s">
        <v>815</v>
      </c>
    </row>
    <row customHeight="1" ht="11.25">
      <c r="A60" s="1852" t="s">
        <v>2269</v>
      </c>
      <c r="B60" s="1852" t="s">
        <v>16</v>
      </c>
      <c r="C60" s="1852" t="s">
        <v>2502</v>
      </c>
      <c r="D60" s="1852" t="s">
        <v>2503</v>
      </c>
      <c r="E60" s="1852" t="s">
        <v>2504</v>
      </c>
      <c r="F60" s="1852" t="s">
        <v>2416</v>
      </c>
      <c r="G60" s="1852" t="s">
        <v>28</v>
      </c>
      <c r="H60" s="1852" t="s">
        <v>28</v>
      </c>
      <c r="I60" s="1852" t="s">
        <v>815</v>
      </c>
    </row>
    <row customHeight="1" ht="11.25">
      <c r="A61" s="1852" t="s">
        <v>2269</v>
      </c>
      <c r="B61" s="1852" t="s">
        <v>16</v>
      </c>
      <c r="C61" s="1852" t="s">
        <v>2505</v>
      </c>
      <c r="D61" s="1852" t="s">
        <v>2506</v>
      </c>
      <c r="E61" s="1852" t="s">
        <v>2507</v>
      </c>
      <c r="F61" s="1852" t="s">
        <v>2399</v>
      </c>
      <c r="G61" s="1852" t="s">
        <v>2508</v>
      </c>
      <c r="H61" s="1852" t="s">
        <v>28</v>
      </c>
      <c r="I61" s="1852" t="s">
        <v>815</v>
      </c>
    </row>
    <row customHeight="1" ht="11.25">
      <c r="A62" s="1852" t="s">
        <v>2269</v>
      </c>
      <c r="B62" s="1852" t="s">
        <v>16</v>
      </c>
      <c r="C62" s="1852" t="s">
        <v>2509</v>
      </c>
      <c r="D62" s="1852" t="s">
        <v>2510</v>
      </c>
      <c r="E62" s="1852" t="s">
        <v>2511</v>
      </c>
      <c r="F62" s="1852" t="s">
        <v>2287</v>
      </c>
      <c r="G62" s="1852" t="s">
        <v>28</v>
      </c>
      <c r="H62" s="1852" t="s">
        <v>28</v>
      </c>
      <c r="I62" s="1852" t="s">
        <v>815</v>
      </c>
    </row>
    <row customHeight="1" ht="11.25">
      <c r="A63" s="1852" t="s">
        <v>2269</v>
      </c>
      <c r="B63" s="1852" t="s">
        <v>16</v>
      </c>
      <c r="C63" s="1852" t="s">
        <v>2512</v>
      </c>
      <c r="D63" s="1852" t="s">
        <v>2513</v>
      </c>
      <c r="E63" s="1852" t="s">
        <v>2514</v>
      </c>
      <c r="F63" s="1852" t="s">
        <v>2515</v>
      </c>
      <c r="G63" s="1852" t="s">
        <v>2516</v>
      </c>
      <c r="H63" s="1852" t="s">
        <v>28</v>
      </c>
      <c r="I63" s="1852" t="s">
        <v>815</v>
      </c>
    </row>
    <row customHeight="1" ht="11.25">
      <c r="A64" s="1852" t="s">
        <v>2269</v>
      </c>
      <c r="B64" s="1852" t="s">
        <v>16</v>
      </c>
      <c r="C64" s="1852" t="s">
        <v>2517</v>
      </c>
      <c r="D64" s="1852" t="s">
        <v>2518</v>
      </c>
      <c r="E64" s="1852" t="s">
        <v>2519</v>
      </c>
      <c r="F64" s="1852" t="s">
        <v>2520</v>
      </c>
      <c r="G64" s="1852" t="s">
        <v>28</v>
      </c>
      <c r="H64" s="1852" t="s">
        <v>28</v>
      </c>
      <c r="I64" s="1852" t="s">
        <v>815</v>
      </c>
    </row>
    <row customHeight="1" ht="11.25">
      <c r="A65" s="1852" t="s">
        <v>2269</v>
      </c>
      <c r="B65" s="1852" t="s">
        <v>16</v>
      </c>
      <c r="C65" s="1852" t="s">
        <v>2521</v>
      </c>
      <c r="D65" s="1852" t="s">
        <v>2522</v>
      </c>
      <c r="E65" s="1852" t="s">
        <v>2523</v>
      </c>
      <c r="F65" s="1852" t="s">
        <v>2524</v>
      </c>
      <c r="G65" s="1852" t="s">
        <v>2525</v>
      </c>
      <c r="H65" s="1852" t="s">
        <v>28</v>
      </c>
      <c r="I65" s="1852" t="s">
        <v>815</v>
      </c>
    </row>
    <row customHeight="1" ht="11.25">
      <c r="A66" s="1852" t="s">
        <v>2269</v>
      </c>
      <c r="B66" s="1852" t="s">
        <v>16</v>
      </c>
      <c r="C66" s="1852" t="s">
        <v>2526</v>
      </c>
      <c r="D66" s="1852" t="s">
        <v>2527</v>
      </c>
      <c r="E66" s="1852" t="s">
        <v>2528</v>
      </c>
      <c r="F66" s="1852" t="s">
        <v>2529</v>
      </c>
      <c r="G66" s="1852" t="s">
        <v>2530</v>
      </c>
      <c r="H66" s="1852" t="s">
        <v>28</v>
      </c>
      <c r="I66" s="1852" t="s">
        <v>815</v>
      </c>
    </row>
    <row customHeight="1" ht="11.25">
      <c r="A67" s="1852" t="s">
        <v>2269</v>
      </c>
      <c r="B67" s="1852" t="s">
        <v>16</v>
      </c>
      <c r="C67" s="1852" t="s">
        <v>2531</v>
      </c>
      <c r="D67" s="1852" t="s">
        <v>2532</v>
      </c>
      <c r="E67" s="1852" t="s">
        <v>2533</v>
      </c>
      <c r="F67" s="1852" t="s">
        <v>2368</v>
      </c>
      <c r="G67" s="1852" t="s">
        <v>28</v>
      </c>
      <c r="H67" s="1852" t="s">
        <v>2534</v>
      </c>
      <c r="I67" s="1852" t="s">
        <v>815</v>
      </c>
    </row>
    <row customHeight="1" ht="11.25">
      <c r="A68" s="1852" t="s">
        <v>2269</v>
      </c>
      <c r="B68" s="1852" t="s">
        <v>16</v>
      </c>
      <c r="C68" s="1852" t="s">
        <v>2535</v>
      </c>
      <c r="D68" s="1852" t="s">
        <v>2536</v>
      </c>
      <c r="E68" s="1852" t="s">
        <v>2537</v>
      </c>
      <c r="F68" s="1852" t="s">
        <v>2292</v>
      </c>
      <c r="G68" s="1852" t="s">
        <v>2538</v>
      </c>
      <c r="H68" s="1852" t="s">
        <v>28</v>
      </c>
      <c r="I68" s="1852" t="s">
        <v>815</v>
      </c>
    </row>
    <row customHeight="1" ht="11.25">
      <c r="A69" s="1852" t="s">
        <v>2269</v>
      </c>
      <c r="B69" s="1852" t="s">
        <v>16</v>
      </c>
      <c r="C69" s="1852" t="s">
        <v>2539</v>
      </c>
      <c r="D69" s="1852" t="s">
        <v>2540</v>
      </c>
      <c r="E69" s="1852" t="s">
        <v>2541</v>
      </c>
      <c r="F69" s="1852" t="s">
        <v>2542</v>
      </c>
      <c r="G69" s="1852" t="s">
        <v>2543</v>
      </c>
      <c r="H69" s="1852" t="s">
        <v>28</v>
      </c>
      <c r="I69" s="1852" t="s">
        <v>815</v>
      </c>
    </row>
    <row customHeight="1" ht="11.25">
      <c r="A70" s="1852" t="s">
        <v>2269</v>
      </c>
      <c r="B70" s="1852" t="s">
        <v>16</v>
      </c>
      <c r="C70" s="1852" t="s">
        <v>2544</v>
      </c>
      <c r="D70" s="1852" t="s">
        <v>2545</v>
      </c>
      <c r="E70" s="1852" t="s">
        <v>2546</v>
      </c>
      <c r="F70" s="1852" t="s">
        <v>2372</v>
      </c>
      <c r="G70" s="1852" t="s">
        <v>2547</v>
      </c>
      <c r="H70" s="1852" t="s">
        <v>28</v>
      </c>
      <c r="I70" s="1852" t="s">
        <v>815</v>
      </c>
    </row>
    <row customHeight="1" ht="11.25">
      <c r="A71" s="1852" t="s">
        <v>2269</v>
      </c>
      <c r="B71" s="1852" t="s">
        <v>16</v>
      </c>
      <c r="C71" s="1852" t="s">
        <v>2548</v>
      </c>
      <c r="D71" s="1852" t="s">
        <v>2549</v>
      </c>
      <c r="E71" s="1852" t="s">
        <v>2550</v>
      </c>
      <c r="F71" s="1852" t="s">
        <v>2311</v>
      </c>
      <c r="G71" s="1852" t="s">
        <v>28</v>
      </c>
      <c r="H71" s="1852" t="s">
        <v>28</v>
      </c>
      <c r="I71" s="1852" t="s">
        <v>815</v>
      </c>
    </row>
    <row customHeight="1" ht="11.25">
      <c r="A72" s="1852" t="s">
        <v>2269</v>
      </c>
      <c r="B72" s="1852" t="s">
        <v>16</v>
      </c>
      <c r="C72" s="1852" t="s">
        <v>2551</v>
      </c>
      <c r="D72" s="1852" t="s">
        <v>2552</v>
      </c>
      <c r="E72" s="1852" t="s">
        <v>2553</v>
      </c>
      <c r="F72" s="1852" t="s">
        <v>2311</v>
      </c>
      <c r="G72" s="1852" t="s">
        <v>2554</v>
      </c>
      <c r="H72" s="1852" t="s">
        <v>28</v>
      </c>
      <c r="I72" s="1852" t="s">
        <v>815</v>
      </c>
    </row>
    <row customHeight="1" ht="11.25">
      <c r="A73" s="1852" t="s">
        <v>2269</v>
      </c>
      <c r="B73" s="1852" t="s">
        <v>16</v>
      </c>
      <c r="C73" s="1852" t="s">
        <v>2555</v>
      </c>
      <c r="D73" s="1852" t="s">
        <v>2556</v>
      </c>
      <c r="E73" s="1852" t="s">
        <v>2557</v>
      </c>
      <c r="F73" s="1852" t="s">
        <v>2558</v>
      </c>
      <c r="G73" s="1852" t="s">
        <v>28</v>
      </c>
      <c r="H73" s="1852" t="s">
        <v>28</v>
      </c>
      <c r="I73" s="1852" t="s">
        <v>815</v>
      </c>
    </row>
    <row customHeight="1" ht="11.25">
      <c r="A74" s="1852" t="s">
        <v>2269</v>
      </c>
      <c r="B74" s="1852" t="s">
        <v>16</v>
      </c>
      <c r="C74" s="1852" t="s">
        <v>2559</v>
      </c>
      <c r="D74" s="1852" t="s">
        <v>2560</v>
      </c>
      <c r="E74" s="1852" t="s">
        <v>2561</v>
      </c>
      <c r="F74" s="1852" t="s">
        <v>2311</v>
      </c>
      <c r="G74" s="1852" t="s">
        <v>2562</v>
      </c>
      <c r="H74" s="1852" t="s">
        <v>28</v>
      </c>
      <c r="I74" s="1852" t="s">
        <v>815</v>
      </c>
    </row>
    <row customHeight="1" ht="11.25">
      <c r="A75" s="1852" t="s">
        <v>2269</v>
      </c>
      <c r="B75" s="1852" t="s">
        <v>16</v>
      </c>
      <c r="C75" s="1852" t="s">
        <v>2563</v>
      </c>
      <c r="D75" s="1852" t="s">
        <v>2564</v>
      </c>
      <c r="E75" s="1852" t="s">
        <v>2565</v>
      </c>
      <c r="F75" s="1852" t="s">
        <v>2311</v>
      </c>
      <c r="G75" s="1852" t="s">
        <v>2566</v>
      </c>
      <c r="H75" s="1852" t="s">
        <v>28</v>
      </c>
      <c r="I75" s="1852" t="s">
        <v>815</v>
      </c>
    </row>
    <row customHeight="1" ht="11.25">
      <c r="A76" s="1852" t="s">
        <v>2269</v>
      </c>
      <c r="B76" s="1852" t="s">
        <v>16</v>
      </c>
      <c r="C76" s="1852" t="s">
        <v>2567</v>
      </c>
      <c r="D76" s="1852" t="s">
        <v>2568</v>
      </c>
      <c r="E76" s="1852" t="s">
        <v>2569</v>
      </c>
      <c r="F76" s="1852" t="s">
        <v>2368</v>
      </c>
      <c r="G76" s="1852" t="s">
        <v>2570</v>
      </c>
      <c r="H76" s="1852" t="s">
        <v>28</v>
      </c>
      <c r="I76" s="1852" t="s">
        <v>815</v>
      </c>
    </row>
    <row customHeight="1" ht="11.25">
      <c r="A77" s="1852" t="s">
        <v>2269</v>
      </c>
      <c r="B77" s="1852" t="s">
        <v>16</v>
      </c>
      <c r="C77" s="1852" t="s">
        <v>2571</v>
      </c>
      <c r="D77" s="1852" t="s">
        <v>2572</v>
      </c>
      <c r="E77" s="1852" t="s">
        <v>2573</v>
      </c>
      <c r="F77" s="1852" t="s">
        <v>2404</v>
      </c>
      <c r="G77" s="1852" t="s">
        <v>28</v>
      </c>
      <c r="H77" s="1852" t="s">
        <v>28</v>
      </c>
      <c r="I77" s="1852" t="s">
        <v>815</v>
      </c>
    </row>
    <row customHeight="1" ht="11.25">
      <c r="A78" s="1852" t="s">
        <v>2269</v>
      </c>
      <c r="B78" s="1852" t="s">
        <v>16</v>
      </c>
      <c r="C78" s="1852" t="s">
        <v>2574</v>
      </c>
      <c r="D78" s="1852" t="s">
        <v>2575</v>
      </c>
      <c r="E78" s="1852" t="s">
        <v>2576</v>
      </c>
      <c r="F78" s="1852" t="s">
        <v>2558</v>
      </c>
      <c r="G78" s="1852" t="s">
        <v>28</v>
      </c>
      <c r="H78" s="1852" t="s">
        <v>28</v>
      </c>
      <c r="I78" s="1852" t="s">
        <v>815</v>
      </c>
    </row>
    <row customHeight="1" ht="11.25">
      <c r="A79" s="1852" t="s">
        <v>2269</v>
      </c>
      <c r="B79" s="1852" t="s">
        <v>16</v>
      </c>
      <c r="C79" s="1852" t="s">
        <v>2577</v>
      </c>
      <c r="D79" s="1852" t="s">
        <v>2578</v>
      </c>
      <c r="E79" s="1852" t="s">
        <v>2579</v>
      </c>
      <c r="F79" s="1852" t="s">
        <v>2580</v>
      </c>
      <c r="G79" s="1852" t="s">
        <v>2581</v>
      </c>
      <c r="H79" s="1852" t="s">
        <v>28</v>
      </c>
      <c r="I79" s="1852" t="s">
        <v>815</v>
      </c>
    </row>
    <row customHeight="1" ht="11.25">
      <c r="A80" s="1852" t="s">
        <v>2269</v>
      </c>
      <c r="B80" s="1852" t="s">
        <v>16</v>
      </c>
      <c r="C80" s="1852" t="s">
        <v>2582</v>
      </c>
      <c r="D80" s="1852" t="s">
        <v>2583</v>
      </c>
      <c r="E80" s="1852" t="s">
        <v>2584</v>
      </c>
      <c r="F80" s="1852" t="s">
        <v>2368</v>
      </c>
      <c r="G80" s="1852" t="s">
        <v>2585</v>
      </c>
      <c r="H80" s="1852" t="s">
        <v>28</v>
      </c>
      <c r="I80" s="1852" t="s">
        <v>815</v>
      </c>
    </row>
    <row customHeight="1" ht="11.25">
      <c r="A81" s="1852" t="s">
        <v>2269</v>
      </c>
      <c r="B81" s="1852" t="s">
        <v>16</v>
      </c>
      <c r="C81" s="1852" t="s">
        <v>2586</v>
      </c>
      <c r="D81" s="1852" t="s">
        <v>2587</v>
      </c>
      <c r="E81" s="1852" t="s">
        <v>2588</v>
      </c>
      <c r="F81" s="1852" t="s">
        <v>2558</v>
      </c>
      <c r="G81" s="1852" t="s">
        <v>2589</v>
      </c>
      <c r="H81" s="1852" t="s">
        <v>28</v>
      </c>
      <c r="I81" s="1852" t="s">
        <v>815</v>
      </c>
    </row>
    <row customHeight="1" ht="11.25">
      <c r="A82" s="1852" t="s">
        <v>2269</v>
      </c>
      <c r="B82" s="1852" t="s">
        <v>16</v>
      </c>
      <c r="C82" s="1852" t="s">
        <v>2590</v>
      </c>
      <c r="D82" s="1852" t="s">
        <v>2591</v>
      </c>
      <c r="E82" s="1852" t="s">
        <v>2592</v>
      </c>
      <c r="F82" s="1852" t="s">
        <v>2333</v>
      </c>
      <c r="G82" s="1852" t="s">
        <v>2593</v>
      </c>
      <c r="H82" s="1852" t="s">
        <v>28</v>
      </c>
      <c r="I82" s="1852" t="s">
        <v>815</v>
      </c>
    </row>
    <row customHeight="1" ht="11.25">
      <c r="A83" s="1852" t="s">
        <v>2269</v>
      </c>
      <c r="B83" s="1852" t="s">
        <v>16</v>
      </c>
      <c r="C83" s="1852" t="s">
        <v>2594</v>
      </c>
      <c r="D83" s="1852" t="s">
        <v>2595</v>
      </c>
      <c r="E83" s="1852" t="s">
        <v>2596</v>
      </c>
      <c r="F83" s="1852" t="s">
        <v>2282</v>
      </c>
      <c r="G83" s="1852" t="s">
        <v>2597</v>
      </c>
      <c r="H83" s="1852" t="s">
        <v>28</v>
      </c>
      <c r="I83" s="1852" t="s">
        <v>815</v>
      </c>
    </row>
    <row customHeight="1" ht="11.25">
      <c r="A84" s="1852" t="s">
        <v>2269</v>
      </c>
      <c r="B84" s="1852" t="s">
        <v>16</v>
      </c>
      <c r="C84" s="1852" t="s">
        <v>2598</v>
      </c>
      <c r="D84" s="1852" t="s">
        <v>2599</v>
      </c>
      <c r="E84" s="1852" t="s">
        <v>2600</v>
      </c>
      <c r="F84" s="1852" t="s">
        <v>2311</v>
      </c>
      <c r="G84" s="1852" t="s">
        <v>2601</v>
      </c>
      <c r="H84" s="1852" t="s">
        <v>28</v>
      </c>
      <c r="I84" s="1852" t="s">
        <v>815</v>
      </c>
    </row>
    <row customHeight="1" ht="11.25">
      <c r="A85" s="1852" t="s">
        <v>2269</v>
      </c>
      <c r="B85" s="1852" t="s">
        <v>16</v>
      </c>
      <c r="C85" s="1852" t="s">
        <v>2602</v>
      </c>
      <c r="D85" s="1852" t="s">
        <v>2603</v>
      </c>
      <c r="E85" s="1852" t="s">
        <v>2604</v>
      </c>
      <c r="F85" s="1852" t="s">
        <v>2529</v>
      </c>
      <c r="G85" s="1852" t="s">
        <v>2605</v>
      </c>
      <c r="H85" s="1852" t="s">
        <v>28</v>
      </c>
      <c r="I85" s="1852" t="s">
        <v>815</v>
      </c>
    </row>
    <row customHeight="1" ht="11.25">
      <c r="A86" s="1852" t="s">
        <v>2269</v>
      </c>
      <c r="B86" s="1852" t="s">
        <v>16</v>
      </c>
      <c r="C86" s="1852" t="s">
        <v>2606</v>
      </c>
      <c r="D86" s="1852" t="s">
        <v>2607</v>
      </c>
      <c r="E86" s="1852" t="s">
        <v>2608</v>
      </c>
      <c r="F86" s="1852" t="s">
        <v>2609</v>
      </c>
      <c r="G86" s="1852" t="s">
        <v>28</v>
      </c>
      <c r="H86" s="1852" t="s">
        <v>28</v>
      </c>
      <c r="I86" s="1852" t="s">
        <v>815</v>
      </c>
    </row>
    <row customHeight="1" ht="11.25">
      <c r="A87" s="1852" t="s">
        <v>2269</v>
      </c>
      <c r="B87" s="1852" t="s">
        <v>16</v>
      </c>
      <c r="C87" s="1852" t="s">
        <v>2610</v>
      </c>
      <c r="D87" s="1852" t="s">
        <v>2611</v>
      </c>
      <c r="E87" s="1852" t="s">
        <v>2612</v>
      </c>
      <c r="F87" s="1852" t="s">
        <v>2368</v>
      </c>
      <c r="G87" s="1852" t="s">
        <v>28</v>
      </c>
      <c r="H87" s="1852" t="s">
        <v>28</v>
      </c>
      <c r="I87" s="1852" t="s">
        <v>815</v>
      </c>
    </row>
    <row customHeight="1" ht="11.25">
      <c r="A88" s="1852" t="s">
        <v>2269</v>
      </c>
      <c r="B88" s="1852" t="s">
        <v>16</v>
      </c>
      <c r="C88" s="1852" t="s">
        <v>2613</v>
      </c>
      <c r="D88" s="1852" t="s">
        <v>2614</v>
      </c>
      <c r="E88" s="1852" t="s">
        <v>2615</v>
      </c>
      <c r="F88" s="1852" t="s">
        <v>2524</v>
      </c>
      <c r="G88" s="1852" t="s">
        <v>2616</v>
      </c>
      <c r="H88" s="1852" t="s">
        <v>28</v>
      </c>
      <c r="I88" s="1852" t="s">
        <v>815</v>
      </c>
    </row>
    <row customHeight="1" ht="11.25">
      <c r="A89" s="1852" t="s">
        <v>2269</v>
      </c>
      <c r="B89" s="1852" t="s">
        <v>16</v>
      </c>
      <c r="C89" s="1852" t="s">
        <v>2617</v>
      </c>
      <c r="D89" s="1852" t="s">
        <v>2618</v>
      </c>
      <c r="E89" s="1852" t="s">
        <v>2619</v>
      </c>
      <c r="F89" s="1852" t="s">
        <v>2520</v>
      </c>
      <c r="G89" s="1852" t="s">
        <v>2620</v>
      </c>
      <c r="H89" s="1852" t="s">
        <v>28</v>
      </c>
      <c r="I89" s="1852" t="s">
        <v>815</v>
      </c>
    </row>
    <row customHeight="1" ht="11.25">
      <c r="A90" s="1852" t="s">
        <v>2269</v>
      </c>
      <c r="B90" s="1852" t="s">
        <v>16</v>
      </c>
      <c r="C90" s="1852" t="s">
        <v>2621</v>
      </c>
      <c r="D90" s="1852" t="s">
        <v>2622</v>
      </c>
      <c r="E90" s="1852" t="s">
        <v>2623</v>
      </c>
      <c r="F90" s="1852" t="s">
        <v>2408</v>
      </c>
      <c r="G90" s="1852" t="s">
        <v>2624</v>
      </c>
      <c r="H90" s="1852" t="s">
        <v>28</v>
      </c>
      <c r="I90" s="1852" t="s">
        <v>815</v>
      </c>
    </row>
    <row customHeight="1" ht="11.25">
      <c r="A91" s="1852" t="s">
        <v>2269</v>
      </c>
      <c r="B91" s="1852" t="s">
        <v>16</v>
      </c>
      <c r="C91" s="1852" t="s">
        <v>2625</v>
      </c>
      <c r="D91" s="1852" t="s">
        <v>2626</v>
      </c>
      <c r="E91" s="1852" t="s">
        <v>2627</v>
      </c>
      <c r="F91" s="1852" t="s">
        <v>2399</v>
      </c>
      <c r="G91" s="1852" t="s">
        <v>2628</v>
      </c>
      <c r="H91" s="1852" t="s">
        <v>28</v>
      </c>
      <c r="I91" s="1852" t="s">
        <v>815</v>
      </c>
    </row>
    <row customHeight="1" ht="11.25">
      <c r="A92" s="1852" t="s">
        <v>2269</v>
      </c>
      <c r="B92" s="1852" t="s">
        <v>16</v>
      </c>
      <c r="C92" s="1852" t="s">
        <v>2629</v>
      </c>
      <c r="D92" s="1852" t="s">
        <v>2630</v>
      </c>
      <c r="E92" s="1852" t="s">
        <v>2631</v>
      </c>
      <c r="F92" s="1852" t="s">
        <v>2372</v>
      </c>
      <c r="G92" s="1852" t="s">
        <v>2632</v>
      </c>
      <c r="H92" s="1852" t="s">
        <v>28</v>
      </c>
      <c r="I92" s="1852" t="s">
        <v>815</v>
      </c>
    </row>
    <row customHeight="1" ht="11.25">
      <c r="A93" s="1852" t="s">
        <v>2269</v>
      </c>
      <c r="B93" s="1852" t="s">
        <v>16</v>
      </c>
      <c r="C93" s="1852" t="s">
        <v>2633</v>
      </c>
      <c r="D93" s="1852" t="s">
        <v>2634</v>
      </c>
      <c r="E93" s="1852" t="s">
        <v>2635</v>
      </c>
      <c r="F93" s="1852" t="s">
        <v>2416</v>
      </c>
      <c r="G93" s="1852" t="s">
        <v>28</v>
      </c>
      <c r="H93" s="1852" t="s">
        <v>28</v>
      </c>
      <c r="I93" s="1852" t="s">
        <v>815</v>
      </c>
    </row>
    <row customHeight="1" ht="11.25">
      <c r="A94" s="1852" t="s">
        <v>2269</v>
      </c>
      <c r="B94" s="1852" t="s">
        <v>16</v>
      </c>
      <c r="C94" s="1852" t="s">
        <v>2636</v>
      </c>
      <c r="D94" s="1852" t="s">
        <v>2637</v>
      </c>
      <c r="E94" s="1852" t="s">
        <v>2638</v>
      </c>
      <c r="F94" s="1852" t="s">
        <v>2311</v>
      </c>
      <c r="G94" s="1852" t="s">
        <v>2639</v>
      </c>
      <c r="H94" s="1852" t="s">
        <v>28</v>
      </c>
      <c r="I94" s="1852" t="s">
        <v>815</v>
      </c>
    </row>
    <row customHeight="1" ht="11.25">
      <c r="A95" s="1852" t="s">
        <v>2269</v>
      </c>
      <c r="B95" s="1852" t="s">
        <v>16</v>
      </c>
      <c r="C95" s="1852" t="s">
        <v>2640</v>
      </c>
      <c r="D95" s="1852" t="s">
        <v>2641</v>
      </c>
      <c r="E95" s="1852" t="s">
        <v>2642</v>
      </c>
      <c r="F95" s="1852" t="s">
        <v>2421</v>
      </c>
      <c r="G95" s="1852" t="s">
        <v>2643</v>
      </c>
      <c r="H95" s="1852" t="s">
        <v>28</v>
      </c>
      <c r="I95" s="1852" t="s">
        <v>815</v>
      </c>
    </row>
    <row customHeight="1" ht="11.25">
      <c r="A96" s="1852" t="s">
        <v>2269</v>
      </c>
      <c r="B96" s="1852" t="s">
        <v>16</v>
      </c>
      <c r="C96" s="1852" t="s">
        <v>2644</v>
      </c>
      <c r="D96" s="1852" t="s">
        <v>2645</v>
      </c>
      <c r="E96" s="1852" t="s">
        <v>2646</v>
      </c>
      <c r="F96" s="1852" t="s">
        <v>2311</v>
      </c>
      <c r="G96" s="1852" t="s">
        <v>28</v>
      </c>
      <c r="H96" s="1852" t="s">
        <v>28</v>
      </c>
      <c r="I96" s="1852" t="s">
        <v>815</v>
      </c>
    </row>
    <row customHeight="1" ht="11.25">
      <c r="A97" s="1852" t="s">
        <v>2269</v>
      </c>
      <c r="B97" s="1852" t="s">
        <v>16</v>
      </c>
      <c r="C97" s="1852" t="s">
        <v>2647</v>
      </c>
      <c r="D97" s="1852" t="s">
        <v>2648</v>
      </c>
      <c r="E97" s="1852" t="s">
        <v>2649</v>
      </c>
      <c r="F97" s="1852" t="s">
        <v>2311</v>
      </c>
      <c r="G97" s="1852" t="s">
        <v>2650</v>
      </c>
      <c r="H97" s="1852" t="s">
        <v>28</v>
      </c>
      <c r="I97" s="1852" t="s">
        <v>815</v>
      </c>
    </row>
    <row customHeight="1" ht="11.25">
      <c r="A98" s="1852" t="s">
        <v>2269</v>
      </c>
      <c r="B98" s="1852" t="s">
        <v>16</v>
      </c>
      <c r="C98" s="1852" t="s">
        <v>2651</v>
      </c>
      <c r="D98" s="1852" t="s">
        <v>2648</v>
      </c>
      <c r="E98" s="1852" t="s">
        <v>2649</v>
      </c>
      <c r="F98" s="1852" t="s">
        <v>2292</v>
      </c>
      <c r="G98" s="1852" t="s">
        <v>28</v>
      </c>
      <c r="H98" s="1852" t="s">
        <v>28</v>
      </c>
      <c r="I98" s="1852" t="s">
        <v>815</v>
      </c>
    </row>
    <row customHeight="1" ht="11.25">
      <c r="A99" s="1852" t="s">
        <v>2269</v>
      </c>
      <c r="B99" s="1852" t="s">
        <v>16</v>
      </c>
      <c r="C99" s="1852" t="s">
        <v>2652</v>
      </c>
      <c r="D99" s="1852" t="s">
        <v>2653</v>
      </c>
      <c r="E99" s="1852" t="s">
        <v>2654</v>
      </c>
      <c r="F99" s="1852" t="s">
        <v>2311</v>
      </c>
      <c r="G99" s="1852" t="s">
        <v>28</v>
      </c>
      <c r="H99" s="1852" t="s">
        <v>28</v>
      </c>
      <c r="I99" s="1852" t="s">
        <v>815</v>
      </c>
    </row>
    <row customHeight="1" ht="11.25">
      <c r="A100" s="1852" t="s">
        <v>2269</v>
      </c>
      <c r="B100" s="1852" t="s">
        <v>16</v>
      </c>
      <c r="C100" s="1852" t="s">
        <v>2655</v>
      </c>
      <c r="D100" s="1852" t="s">
        <v>2656</v>
      </c>
      <c r="E100" s="1852" t="s">
        <v>2657</v>
      </c>
      <c r="F100" s="1852" t="s">
        <v>2278</v>
      </c>
      <c r="G100" s="1852" t="s">
        <v>28</v>
      </c>
      <c r="H100" s="1852" t="s">
        <v>28</v>
      </c>
      <c r="I100" s="1852" t="s">
        <v>815</v>
      </c>
    </row>
    <row customHeight="1" ht="11.25">
      <c r="A101" s="1852" t="s">
        <v>2269</v>
      </c>
      <c r="B101" s="1852" t="s">
        <v>16</v>
      </c>
      <c r="C101" s="1852" t="s">
        <v>2658</v>
      </c>
      <c r="D101" s="1852" t="s">
        <v>2659</v>
      </c>
      <c r="E101" s="1852" t="s">
        <v>2660</v>
      </c>
      <c r="F101" s="1852" t="s">
        <v>2661</v>
      </c>
      <c r="G101" s="1852" t="s">
        <v>28</v>
      </c>
      <c r="H101" s="1852" t="s">
        <v>28</v>
      </c>
      <c r="I101" s="1852" t="s">
        <v>815</v>
      </c>
    </row>
    <row customHeight="1" ht="11.25">
      <c r="A102" s="1852" t="s">
        <v>2269</v>
      </c>
      <c r="B102" s="1852" t="s">
        <v>16</v>
      </c>
      <c r="C102" s="1852" t="s">
        <v>2662</v>
      </c>
      <c r="D102" s="1852" t="s">
        <v>2663</v>
      </c>
      <c r="E102" s="1852" t="s">
        <v>2664</v>
      </c>
      <c r="F102" s="1852" t="s">
        <v>2311</v>
      </c>
      <c r="G102" s="1852" t="s">
        <v>2665</v>
      </c>
      <c r="H102" s="1852" t="s">
        <v>28</v>
      </c>
      <c r="I102" s="1852" t="s">
        <v>815</v>
      </c>
    </row>
    <row customHeight="1" ht="11.25">
      <c r="A103" s="1852" t="s">
        <v>2269</v>
      </c>
      <c r="B103" s="1852" t="s">
        <v>16</v>
      </c>
      <c r="C103" s="1852" t="s">
        <v>2666</v>
      </c>
      <c r="D103" s="1852" t="s">
        <v>2667</v>
      </c>
      <c r="E103" s="1852" t="s">
        <v>2668</v>
      </c>
      <c r="F103" s="1852" t="s">
        <v>2311</v>
      </c>
      <c r="G103" s="1852" t="s">
        <v>28</v>
      </c>
      <c r="H103" s="1852" t="s">
        <v>28</v>
      </c>
      <c r="I103" s="1852" t="s">
        <v>815</v>
      </c>
    </row>
    <row customHeight="1" ht="11.25">
      <c r="A104" s="1852" t="s">
        <v>2269</v>
      </c>
      <c r="B104" s="1852" t="s">
        <v>16</v>
      </c>
      <c r="C104" s="1852" t="s">
        <v>2669</v>
      </c>
      <c r="D104" s="1852" t="s">
        <v>2670</v>
      </c>
      <c r="E104" s="1852" t="s">
        <v>2671</v>
      </c>
      <c r="F104" s="1852" t="s">
        <v>2672</v>
      </c>
      <c r="G104" s="1852" t="s">
        <v>2673</v>
      </c>
      <c r="H104" s="1852" t="s">
        <v>28</v>
      </c>
      <c r="I104" s="1852" t="s">
        <v>815</v>
      </c>
    </row>
    <row customHeight="1" ht="11.25">
      <c r="A105" s="1852" t="s">
        <v>2269</v>
      </c>
      <c r="B105" s="1852" t="s">
        <v>16</v>
      </c>
      <c r="C105" s="1852" t="s">
        <v>2674</v>
      </c>
      <c r="D105" s="1852" t="s">
        <v>2675</v>
      </c>
      <c r="E105" s="1852" t="s">
        <v>2676</v>
      </c>
      <c r="F105" s="1852" t="s">
        <v>2677</v>
      </c>
      <c r="G105" s="1852" t="s">
        <v>2678</v>
      </c>
      <c r="H105" s="1852" t="s">
        <v>28</v>
      </c>
      <c r="I105" s="1852" t="s">
        <v>815</v>
      </c>
    </row>
    <row customHeight="1" ht="11.25">
      <c r="A106" s="1852" t="s">
        <v>2269</v>
      </c>
      <c r="B106" s="1852" t="s">
        <v>16</v>
      </c>
      <c r="C106" s="1852" t="s">
        <v>2679</v>
      </c>
      <c r="D106" s="1852" t="s">
        <v>2680</v>
      </c>
      <c r="E106" s="1852" t="s">
        <v>2681</v>
      </c>
      <c r="F106" s="1852" t="s">
        <v>2682</v>
      </c>
      <c r="G106" s="1852" t="s">
        <v>2683</v>
      </c>
      <c r="H106" s="1852" t="s">
        <v>28</v>
      </c>
      <c r="I106" s="1852" t="s">
        <v>815</v>
      </c>
    </row>
    <row customHeight="1" ht="11.25">
      <c r="A107" s="1852" t="s">
        <v>2269</v>
      </c>
      <c r="B107" s="1852" t="s">
        <v>16</v>
      </c>
      <c r="C107" s="1852" t="s">
        <v>2684</v>
      </c>
      <c r="D107" s="1852" t="s">
        <v>2685</v>
      </c>
      <c r="E107" s="1852" t="s">
        <v>2686</v>
      </c>
      <c r="F107" s="1852" t="s">
        <v>2372</v>
      </c>
      <c r="G107" s="1852" t="s">
        <v>2687</v>
      </c>
      <c r="H107" s="1852" t="s">
        <v>28</v>
      </c>
      <c r="I107" s="1852" t="s">
        <v>815</v>
      </c>
    </row>
    <row customHeight="1" ht="11.25">
      <c r="A108" s="1852" t="s">
        <v>2269</v>
      </c>
      <c r="B108" s="1852" t="s">
        <v>16</v>
      </c>
      <c r="C108" s="1852" t="s">
        <v>2688</v>
      </c>
      <c r="D108" s="1852" t="s">
        <v>2689</v>
      </c>
      <c r="E108" s="1852" t="s">
        <v>2690</v>
      </c>
      <c r="F108" s="1852" t="s">
        <v>2311</v>
      </c>
      <c r="G108" s="1852" t="s">
        <v>2691</v>
      </c>
      <c r="H108" s="1852" t="s">
        <v>28</v>
      </c>
      <c r="I108" s="1852" t="s">
        <v>815</v>
      </c>
    </row>
    <row customHeight="1" ht="11.25">
      <c r="A109" s="1852" t="s">
        <v>2269</v>
      </c>
      <c r="B109" s="1852" t="s">
        <v>16</v>
      </c>
      <c r="C109" s="1852" t="s">
        <v>2692</v>
      </c>
      <c r="D109" s="1852" t="s">
        <v>2693</v>
      </c>
      <c r="E109" s="1852" t="s">
        <v>2694</v>
      </c>
      <c r="F109" s="1852" t="s">
        <v>2311</v>
      </c>
      <c r="G109" s="1852" t="s">
        <v>2695</v>
      </c>
      <c r="H109" s="1852" t="s">
        <v>28</v>
      </c>
      <c r="I109" s="1852" t="s">
        <v>815</v>
      </c>
    </row>
    <row customHeight="1" ht="11.25">
      <c r="A110" s="1852" t="s">
        <v>2269</v>
      </c>
      <c r="B110" s="1852" t="s">
        <v>16</v>
      </c>
      <c r="C110" s="1852" t="s">
        <v>2696</v>
      </c>
      <c r="D110" s="1852" t="s">
        <v>2697</v>
      </c>
      <c r="E110" s="1852" t="s">
        <v>2698</v>
      </c>
      <c r="F110" s="1852" t="s">
        <v>2520</v>
      </c>
      <c r="G110" s="1852" t="s">
        <v>28</v>
      </c>
      <c r="H110" s="1852" t="s">
        <v>28</v>
      </c>
      <c r="I110" s="1852" t="s">
        <v>815</v>
      </c>
    </row>
    <row customHeight="1" ht="11.25">
      <c r="A111" s="1852" t="s">
        <v>2269</v>
      </c>
      <c r="B111" s="1852" t="s">
        <v>16</v>
      </c>
      <c r="C111" s="1852" t="s">
        <v>2699</v>
      </c>
      <c r="D111" s="1852" t="s">
        <v>2700</v>
      </c>
      <c r="E111" s="1852" t="s">
        <v>2701</v>
      </c>
      <c r="F111" s="1852" t="s">
        <v>2430</v>
      </c>
      <c r="G111" s="1852" t="s">
        <v>2702</v>
      </c>
      <c r="H111" s="1852" t="s">
        <v>28</v>
      </c>
      <c r="I111" s="1852" t="s">
        <v>815</v>
      </c>
    </row>
    <row customHeight="1" ht="11.25">
      <c r="A112" s="1852" t="s">
        <v>2269</v>
      </c>
      <c r="B112" s="1852" t="s">
        <v>16</v>
      </c>
      <c r="C112" s="1852" t="s">
        <v>2703</v>
      </c>
      <c r="D112" s="1852" t="s">
        <v>2704</v>
      </c>
      <c r="E112" s="1852" t="s">
        <v>2705</v>
      </c>
      <c r="F112" s="1852" t="s">
        <v>2311</v>
      </c>
      <c r="G112" s="1852" t="s">
        <v>2706</v>
      </c>
      <c r="H112" s="1852" t="s">
        <v>28</v>
      </c>
      <c r="I112" s="1852" t="s">
        <v>815</v>
      </c>
    </row>
    <row customHeight="1" ht="11.25">
      <c r="A113" s="1852" t="s">
        <v>2269</v>
      </c>
      <c r="B113" s="1852" t="s">
        <v>16</v>
      </c>
      <c r="C113" s="1852" t="s">
        <v>2707</v>
      </c>
      <c r="D113" s="1852" t="s">
        <v>2708</v>
      </c>
      <c r="E113" s="1852" t="s">
        <v>2709</v>
      </c>
      <c r="F113" s="1852" t="s">
        <v>2311</v>
      </c>
      <c r="G113" s="1852" t="s">
        <v>2710</v>
      </c>
      <c r="H113" s="1852" t="s">
        <v>28</v>
      </c>
      <c r="I113" s="1852" t="s">
        <v>815</v>
      </c>
    </row>
    <row customHeight="1" ht="11.25">
      <c r="A114" s="1852" t="s">
        <v>2269</v>
      </c>
      <c r="B114" s="1852" t="s">
        <v>16</v>
      </c>
      <c r="C114" s="1852" t="s">
        <v>2711</v>
      </c>
      <c r="D114" s="1852" t="s">
        <v>2712</v>
      </c>
      <c r="E114" s="1852" t="s">
        <v>2713</v>
      </c>
      <c r="F114" s="1852" t="s">
        <v>2311</v>
      </c>
      <c r="G114" s="1852" t="s">
        <v>2714</v>
      </c>
      <c r="H114" s="1852" t="s">
        <v>2715</v>
      </c>
      <c r="I114" s="1852" t="s">
        <v>815</v>
      </c>
    </row>
    <row customHeight="1" ht="11.25">
      <c r="A115" s="1852" t="s">
        <v>2269</v>
      </c>
      <c r="B115" s="1852" t="s">
        <v>16</v>
      </c>
      <c r="C115" s="1852" t="s">
        <v>2716</v>
      </c>
      <c r="D115" s="1852" t="s">
        <v>2717</v>
      </c>
      <c r="E115" s="1852" t="s">
        <v>2718</v>
      </c>
      <c r="F115" s="1852" t="s">
        <v>2372</v>
      </c>
      <c r="G115" s="1852" t="s">
        <v>2719</v>
      </c>
      <c r="H115" s="1852" t="s">
        <v>28</v>
      </c>
      <c r="I115" s="1852" t="s">
        <v>815</v>
      </c>
    </row>
    <row customHeight="1" ht="11.25">
      <c r="A116" s="1852" t="s">
        <v>2269</v>
      </c>
      <c r="B116" s="1852" t="s">
        <v>16</v>
      </c>
      <c r="C116" s="1852" t="s">
        <v>2720</v>
      </c>
      <c r="D116" s="1852" t="s">
        <v>2721</v>
      </c>
      <c r="E116" s="1852" t="s">
        <v>2722</v>
      </c>
      <c r="F116" s="1852" t="s">
        <v>2723</v>
      </c>
      <c r="G116" s="1852" t="s">
        <v>2724</v>
      </c>
      <c r="H116" s="1852" t="s">
        <v>2725</v>
      </c>
      <c r="I116" s="1852" t="s">
        <v>815</v>
      </c>
    </row>
    <row customHeight="1" ht="11.25">
      <c r="A117" s="1852" t="s">
        <v>2269</v>
      </c>
      <c r="B117" s="1852" t="s">
        <v>16</v>
      </c>
      <c r="C117" s="1852" t="s">
        <v>2726</v>
      </c>
      <c r="D117" s="1852" t="s">
        <v>2727</v>
      </c>
      <c r="E117" s="1852" t="s">
        <v>2728</v>
      </c>
      <c r="F117" s="1852" t="s">
        <v>2723</v>
      </c>
      <c r="G117" s="1852" t="s">
        <v>2729</v>
      </c>
      <c r="H117" s="1852" t="s">
        <v>28</v>
      </c>
      <c r="I117" s="1852" t="s">
        <v>815</v>
      </c>
    </row>
    <row customHeight="1" ht="11.25">
      <c r="A118" s="1852" t="s">
        <v>2269</v>
      </c>
      <c r="B118" s="1852" t="s">
        <v>16</v>
      </c>
      <c r="C118" s="1852" t="s">
        <v>2730</v>
      </c>
      <c r="D118" s="1852" t="s">
        <v>2731</v>
      </c>
      <c r="E118" s="1852" t="s">
        <v>2732</v>
      </c>
      <c r="F118" s="1852" t="s">
        <v>2733</v>
      </c>
      <c r="G118" s="1852" t="s">
        <v>28</v>
      </c>
      <c r="H118" s="1852" t="s">
        <v>28</v>
      </c>
      <c r="I118" s="1852" t="s">
        <v>815</v>
      </c>
    </row>
    <row customHeight="1" ht="11.25">
      <c r="A119" s="1852" t="s">
        <v>2269</v>
      </c>
      <c r="B119" s="1852" t="s">
        <v>16</v>
      </c>
      <c r="C119" s="1852" t="s">
        <v>2734</v>
      </c>
      <c r="D119" s="1852" t="s">
        <v>2735</v>
      </c>
      <c r="E119" s="1852" t="s">
        <v>2736</v>
      </c>
      <c r="F119" s="1852" t="s">
        <v>2278</v>
      </c>
      <c r="G119" s="1852" t="s">
        <v>2737</v>
      </c>
      <c r="H119" s="1852" t="s">
        <v>28</v>
      </c>
      <c r="I119" s="1852" t="s">
        <v>815</v>
      </c>
    </row>
    <row customHeight="1" ht="11.25">
      <c r="A120" s="1852" t="s">
        <v>2269</v>
      </c>
      <c r="B120" s="1852" t="s">
        <v>16</v>
      </c>
      <c r="C120" s="1852" t="s">
        <v>2738</v>
      </c>
      <c r="D120" s="1852" t="s">
        <v>2739</v>
      </c>
      <c r="E120" s="1852" t="s">
        <v>2740</v>
      </c>
      <c r="F120" s="1852" t="s">
        <v>2282</v>
      </c>
      <c r="G120" s="1852" t="s">
        <v>2741</v>
      </c>
      <c r="H120" s="1852" t="s">
        <v>28</v>
      </c>
      <c r="I120" s="1852" t="s">
        <v>815</v>
      </c>
    </row>
    <row customHeight="1" ht="11.25">
      <c r="A121" s="1852" t="s">
        <v>2269</v>
      </c>
      <c r="B121" s="1852" t="s">
        <v>16</v>
      </c>
      <c r="C121" s="1852" t="s">
        <v>2742</v>
      </c>
      <c r="D121" s="1852" t="s">
        <v>2743</v>
      </c>
      <c r="E121" s="1852" t="s">
        <v>2744</v>
      </c>
      <c r="F121" s="1852" t="s">
        <v>2745</v>
      </c>
      <c r="G121" s="1852" t="s">
        <v>2746</v>
      </c>
      <c r="H121" s="1852" t="s">
        <v>28</v>
      </c>
      <c r="I121" s="1852" t="s">
        <v>815</v>
      </c>
    </row>
    <row customHeight="1" ht="11.25">
      <c r="A122" s="1852" t="s">
        <v>2269</v>
      </c>
      <c r="B122" s="1852" t="s">
        <v>16</v>
      </c>
      <c r="C122" s="1852" t="s">
        <v>2747</v>
      </c>
      <c r="D122" s="1852" t="s">
        <v>2748</v>
      </c>
      <c r="E122" s="1852" t="s">
        <v>2749</v>
      </c>
      <c r="F122" s="1852" t="s">
        <v>2333</v>
      </c>
      <c r="G122" s="1852" t="s">
        <v>28</v>
      </c>
      <c r="H122" s="1852" t="s">
        <v>28</v>
      </c>
      <c r="I122" s="1852" t="s">
        <v>815</v>
      </c>
    </row>
    <row customHeight="1" ht="11.25">
      <c r="A123" s="1852" t="s">
        <v>2269</v>
      </c>
      <c r="B123" s="1852" t="s">
        <v>16</v>
      </c>
      <c r="C123" s="1852" t="s">
        <v>2750</v>
      </c>
      <c r="D123" s="1852" t="s">
        <v>2751</v>
      </c>
      <c r="E123" s="1852" t="s">
        <v>2752</v>
      </c>
      <c r="F123" s="1852" t="s">
        <v>2558</v>
      </c>
      <c r="G123" s="1852" t="s">
        <v>2753</v>
      </c>
      <c r="H123" s="1852" t="s">
        <v>28</v>
      </c>
      <c r="I123" s="1852" t="s">
        <v>815</v>
      </c>
    </row>
    <row customHeight="1" ht="11.25">
      <c r="A124" s="1852" t="s">
        <v>2269</v>
      </c>
      <c r="B124" s="1852" t="s">
        <v>16</v>
      </c>
      <c r="C124" s="1852" t="s">
        <v>2754</v>
      </c>
      <c r="D124" s="1852" t="s">
        <v>2755</v>
      </c>
      <c r="E124" s="1852" t="s">
        <v>2756</v>
      </c>
      <c r="F124" s="1852" t="s">
        <v>2282</v>
      </c>
      <c r="G124" s="1852" t="s">
        <v>28</v>
      </c>
      <c r="H124" s="1852" t="s">
        <v>28</v>
      </c>
      <c r="I124" s="1852" t="s">
        <v>815</v>
      </c>
    </row>
    <row customHeight="1" ht="11.25">
      <c r="A125" s="1852" t="s">
        <v>2269</v>
      </c>
      <c r="B125" s="1852" t="s">
        <v>16</v>
      </c>
      <c r="C125" s="1852" t="s">
        <v>2757</v>
      </c>
      <c r="D125" s="1852" t="s">
        <v>2758</v>
      </c>
      <c r="E125" s="1852" t="s">
        <v>2759</v>
      </c>
      <c r="F125" s="1852" t="s">
        <v>2745</v>
      </c>
      <c r="G125" s="1852" t="s">
        <v>28</v>
      </c>
      <c r="H125" s="1852" t="s">
        <v>28</v>
      </c>
      <c r="I125" s="1852" t="s">
        <v>815</v>
      </c>
    </row>
    <row customHeight="1" ht="11.25">
      <c r="A126" s="1852" t="s">
        <v>2269</v>
      </c>
      <c r="B126" s="1852" t="s">
        <v>16</v>
      </c>
      <c r="C126" s="1852" t="s">
        <v>2760</v>
      </c>
      <c r="D126" s="1852" t="s">
        <v>2761</v>
      </c>
      <c r="E126" s="1852" t="s">
        <v>2762</v>
      </c>
      <c r="F126" s="1852" t="s">
        <v>2763</v>
      </c>
      <c r="G126" s="1852" t="s">
        <v>2764</v>
      </c>
      <c r="H126" s="1852" t="s">
        <v>28</v>
      </c>
      <c r="I126" s="1852" t="s">
        <v>815</v>
      </c>
    </row>
    <row customHeight="1" ht="11.25">
      <c r="A127" s="1852" t="s">
        <v>2269</v>
      </c>
      <c r="B127" s="1852" t="s">
        <v>16</v>
      </c>
      <c r="C127" s="1852" t="s">
        <v>2765</v>
      </c>
      <c r="D127" s="1852" t="s">
        <v>2766</v>
      </c>
      <c r="E127" s="1852" t="s">
        <v>2767</v>
      </c>
      <c r="F127" s="1852" t="s">
        <v>2529</v>
      </c>
      <c r="G127" s="1852" t="s">
        <v>2768</v>
      </c>
      <c r="H127" s="1852" t="s">
        <v>28</v>
      </c>
      <c r="I127" s="1852" t="s">
        <v>815</v>
      </c>
    </row>
    <row customHeight="1" ht="11.25">
      <c r="A128" s="1852" t="s">
        <v>2269</v>
      </c>
      <c r="B128" s="1852" t="s">
        <v>16</v>
      </c>
      <c r="C128" s="1852" t="s">
        <v>2769</v>
      </c>
      <c r="D128" s="1852" t="s">
        <v>2770</v>
      </c>
      <c r="E128" s="1852" t="s">
        <v>2771</v>
      </c>
      <c r="F128" s="1852" t="s">
        <v>2287</v>
      </c>
      <c r="G128" s="1852" t="s">
        <v>2772</v>
      </c>
      <c r="H128" s="1852" t="s">
        <v>28</v>
      </c>
      <c r="I128" s="1852" t="s">
        <v>815</v>
      </c>
    </row>
    <row customHeight="1" ht="11.25">
      <c r="A129" s="1852" t="s">
        <v>2269</v>
      </c>
      <c r="B129" s="1852" t="s">
        <v>16</v>
      </c>
      <c r="C129" s="1852" t="s">
        <v>2773</v>
      </c>
      <c r="D129" s="1852" t="s">
        <v>2774</v>
      </c>
      <c r="E129" s="1852" t="s">
        <v>2775</v>
      </c>
      <c r="F129" s="1852" t="s">
        <v>2311</v>
      </c>
      <c r="G129" s="1852" t="s">
        <v>2695</v>
      </c>
      <c r="H129" s="1852" t="s">
        <v>28</v>
      </c>
      <c r="I129" s="1852" t="s">
        <v>815</v>
      </c>
    </row>
    <row customHeight="1" ht="11.25">
      <c r="A130" s="1852" t="s">
        <v>2269</v>
      </c>
      <c r="B130" s="1852" t="s">
        <v>16</v>
      </c>
      <c r="C130" s="1852" t="s">
        <v>2776</v>
      </c>
      <c r="D130" s="1852" t="s">
        <v>2777</v>
      </c>
      <c r="E130" s="1852" t="s">
        <v>2778</v>
      </c>
      <c r="F130" s="1852" t="s">
        <v>2524</v>
      </c>
      <c r="G130" s="1852" t="s">
        <v>28</v>
      </c>
      <c r="H130" s="1852" t="s">
        <v>28</v>
      </c>
      <c r="I130" s="1852" t="s">
        <v>815</v>
      </c>
    </row>
    <row customHeight="1" ht="11.25">
      <c r="A131" s="1852" t="s">
        <v>2269</v>
      </c>
      <c r="B131" s="1852" t="s">
        <v>16</v>
      </c>
      <c r="C131" s="1852" t="s">
        <v>2779</v>
      </c>
      <c r="D131" s="1852" t="s">
        <v>2780</v>
      </c>
      <c r="E131" s="1852" t="s">
        <v>2781</v>
      </c>
      <c r="F131" s="1852" t="s">
        <v>2311</v>
      </c>
      <c r="G131" s="1852" t="s">
        <v>2782</v>
      </c>
      <c r="H131" s="1852" t="s">
        <v>28</v>
      </c>
      <c r="I131" s="1852" t="s">
        <v>815</v>
      </c>
    </row>
    <row customHeight="1" ht="11.25">
      <c r="A132" s="1852" t="s">
        <v>2269</v>
      </c>
      <c r="B132" s="1852" t="s">
        <v>16</v>
      </c>
      <c r="C132" s="1852" t="s">
        <v>2783</v>
      </c>
      <c r="D132" s="1852" t="s">
        <v>2784</v>
      </c>
      <c r="E132" s="1852" t="s">
        <v>2785</v>
      </c>
      <c r="F132" s="1852" t="s">
        <v>2311</v>
      </c>
      <c r="G132" s="1852" t="s">
        <v>2786</v>
      </c>
      <c r="H132" s="1852" t="s">
        <v>28</v>
      </c>
      <c r="I132" s="1852" t="s">
        <v>815</v>
      </c>
    </row>
    <row customHeight="1" ht="11.25">
      <c r="A133" s="1852" t="s">
        <v>2269</v>
      </c>
      <c r="B133" s="1852" t="s">
        <v>16</v>
      </c>
      <c r="C133" s="1852" t="s">
        <v>2787</v>
      </c>
      <c r="D133" s="1852" t="s">
        <v>2788</v>
      </c>
      <c r="E133" s="1852" t="s">
        <v>2789</v>
      </c>
      <c r="F133" s="1852" t="s">
        <v>2297</v>
      </c>
      <c r="G133" s="1852" t="s">
        <v>28</v>
      </c>
      <c r="H133" s="1852" t="s">
        <v>28</v>
      </c>
      <c r="I133" s="1852" t="s">
        <v>815</v>
      </c>
    </row>
    <row customHeight="1" ht="11.25">
      <c r="A134" s="1852" t="s">
        <v>2269</v>
      </c>
      <c r="B134" s="1852" t="s">
        <v>16</v>
      </c>
      <c r="C134" s="1852" t="s">
        <v>2790</v>
      </c>
      <c r="D134" s="1852" t="s">
        <v>2791</v>
      </c>
      <c r="E134" s="1852" t="s">
        <v>2792</v>
      </c>
      <c r="F134" s="1852" t="s">
        <v>2311</v>
      </c>
      <c r="G134" s="1852" t="s">
        <v>2793</v>
      </c>
      <c r="H134" s="1852" t="s">
        <v>28</v>
      </c>
      <c r="I134" s="1852" t="s">
        <v>815</v>
      </c>
    </row>
    <row customHeight="1" ht="11.25">
      <c r="A135" s="1852" t="s">
        <v>2269</v>
      </c>
      <c r="B135" s="1852" t="s">
        <v>16</v>
      </c>
      <c r="C135" s="1852" t="s">
        <v>2794</v>
      </c>
      <c r="D135" s="1852" t="s">
        <v>2795</v>
      </c>
      <c r="E135" s="1852" t="s">
        <v>2796</v>
      </c>
      <c r="F135" s="1852" t="s">
        <v>2311</v>
      </c>
      <c r="G135" s="1852" t="s">
        <v>2797</v>
      </c>
      <c r="H135" s="1852" t="s">
        <v>28</v>
      </c>
      <c r="I135" s="1852" t="s">
        <v>815</v>
      </c>
    </row>
    <row customHeight="1" ht="11.25">
      <c r="A136" s="1852" t="s">
        <v>2269</v>
      </c>
      <c r="B136" s="1852" t="s">
        <v>16</v>
      </c>
      <c r="C136" s="1852" t="s">
        <v>2798</v>
      </c>
      <c r="D136" s="1852" t="s">
        <v>2799</v>
      </c>
      <c r="E136" s="1852" t="s">
        <v>2800</v>
      </c>
      <c r="F136" s="1852" t="s">
        <v>2354</v>
      </c>
      <c r="G136" s="1852" t="s">
        <v>2801</v>
      </c>
      <c r="H136" s="1852" t="s">
        <v>28</v>
      </c>
      <c r="I136" s="1852" t="s">
        <v>815</v>
      </c>
    </row>
    <row customHeight="1" ht="11.25">
      <c r="A137" s="1852" t="s">
        <v>2269</v>
      </c>
      <c r="B137" s="1852" t="s">
        <v>16</v>
      </c>
      <c r="C137" s="1852" t="s">
        <v>2802</v>
      </c>
      <c r="D137" s="1852" t="s">
        <v>2803</v>
      </c>
      <c r="E137" s="1852" t="s">
        <v>2804</v>
      </c>
      <c r="F137" s="1852" t="s">
        <v>2805</v>
      </c>
      <c r="G137" s="1852" t="s">
        <v>2806</v>
      </c>
      <c r="H137" s="1852" t="s">
        <v>28</v>
      </c>
      <c r="I137" s="1852" t="s">
        <v>815</v>
      </c>
    </row>
    <row customHeight="1" ht="11.25">
      <c r="A138" s="1852" t="s">
        <v>2269</v>
      </c>
      <c r="B138" s="1852" t="s">
        <v>16</v>
      </c>
      <c r="C138" s="1852" t="s">
        <v>2807</v>
      </c>
      <c r="D138" s="1852" t="s">
        <v>2808</v>
      </c>
      <c r="E138" s="1852" t="s">
        <v>2809</v>
      </c>
      <c r="F138" s="1852" t="s">
        <v>2311</v>
      </c>
      <c r="G138" s="1852" t="s">
        <v>28</v>
      </c>
      <c r="H138" s="1852" t="s">
        <v>28</v>
      </c>
      <c r="I138" s="1852" t="s">
        <v>815</v>
      </c>
    </row>
    <row customHeight="1" ht="11.25">
      <c r="A139" s="1852" t="s">
        <v>2269</v>
      </c>
      <c r="B139" s="1852" t="s">
        <v>16</v>
      </c>
      <c r="C139" s="1852" t="s">
        <v>2810</v>
      </c>
      <c r="D139" s="1852" t="s">
        <v>2811</v>
      </c>
      <c r="E139" s="1852" t="s">
        <v>2812</v>
      </c>
      <c r="F139" s="1852" t="s">
        <v>2461</v>
      </c>
      <c r="G139" s="1852" t="s">
        <v>28</v>
      </c>
      <c r="H139" s="1852" t="s">
        <v>28</v>
      </c>
      <c r="I139" s="1852" t="s">
        <v>815</v>
      </c>
    </row>
    <row customHeight="1" ht="11.25">
      <c r="A140" s="1852" t="s">
        <v>2269</v>
      </c>
      <c r="B140" s="1852" t="s">
        <v>16</v>
      </c>
      <c r="C140" s="1852" t="s">
        <v>2813</v>
      </c>
      <c r="D140" s="1852" t="s">
        <v>2814</v>
      </c>
      <c r="E140" s="1852" t="s">
        <v>2315</v>
      </c>
      <c r="F140" s="1852" t="s">
        <v>2815</v>
      </c>
      <c r="G140" s="1852" t="s">
        <v>2816</v>
      </c>
      <c r="H140" s="1852" t="s">
        <v>28</v>
      </c>
      <c r="I140" s="1852" t="s">
        <v>815</v>
      </c>
    </row>
    <row customHeight="1" ht="11.25">
      <c r="A141" s="1852" t="s">
        <v>2269</v>
      </c>
      <c r="B141" s="1852" t="s">
        <v>16</v>
      </c>
      <c r="C141" s="1852" t="s">
        <v>2817</v>
      </c>
      <c r="D141" s="1852" t="s">
        <v>2814</v>
      </c>
      <c r="E141" s="1852" t="s">
        <v>2315</v>
      </c>
      <c r="F141" s="1852" t="s">
        <v>2818</v>
      </c>
      <c r="G141" s="1852" t="s">
        <v>2816</v>
      </c>
      <c r="H141" s="1852" t="s">
        <v>28</v>
      </c>
      <c r="I141" s="1852" t="s">
        <v>815</v>
      </c>
    </row>
    <row customHeight="1" ht="11.25">
      <c r="A142" s="1852" t="s">
        <v>2269</v>
      </c>
      <c r="B142" s="1852" t="s">
        <v>16</v>
      </c>
      <c r="C142" s="1852" t="s">
        <v>2819</v>
      </c>
      <c r="D142" s="1852" t="s">
        <v>2814</v>
      </c>
      <c r="E142" s="1852" t="s">
        <v>2315</v>
      </c>
      <c r="F142" s="1852" t="s">
        <v>2820</v>
      </c>
      <c r="G142" s="1852" t="s">
        <v>28</v>
      </c>
      <c r="H142" s="1852" t="s">
        <v>28</v>
      </c>
      <c r="I142" s="1852" t="s">
        <v>815</v>
      </c>
    </row>
    <row customHeight="1" ht="11.25">
      <c r="A143" s="1852" t="s">
        <v>2269</v>
      </c>
      <c r="B143" s="1852" t="s">
        <v>16</v>
      </c>
      <c r="C143" s="1852" t="s">
        <v>2821</v>
      </c>
      <c r="D143" s="1852" t="s">
        <v>2822</v>
      </c>
      <c r="E143" s="1852" t="s">
        <v>2823</v>
      </c>
      <c r="F143" s="1852" t="s">
        <v>2824</v>
      </c>
      <c r="G143" s="1852" t="s">
        <v>28</v>
      </c>
      <c r="H143" s="1852" t="s">
        <v>28</v>
      </c>
      <c r="I143" s="1852" t="s">
        <v>815</v>
      </c>
    </row>
    <row customHeight="1" ht="11.25">
      <c r="A144" s="1852" t="s">
        <v>2269</v>
      </c>
      <c r="B144" s="1852" t="s">
        <v>16</v>
      </c>
      <c r="C144" s="1852" t="s">
        <v>2825</v>
      </c>
      <c r="D144" s="1852" t="s">
        <v>2826</v>
      </c>
      <c r="E144" s="1852" t="s">
        <v>2827</v>
      </c>
      <c r="F144" s="1852" t="s">
        <v>2828</v>
      </c>
      <c r="G144" s="1852" t="s">
        <v>28</v>
      </c>
      <c r="H144" s="1852" t="s">
        <v>28</v>
      </c>
      <c r="I144" s="1852" t="s">
        <v>815</v>
      </c>
    </row>
    <row customHeight="1" ht="11.25">
      <c r="A145" s="1852" t="s">
        <v>2269</v>
      </c>
      <c r="B145" s="1852" t="s">
        <v>16</v>
      </c>
      <c r="C145" s="1852" t="s">
        <v>2829</v>
      </c>
      <c r="D145" s="1852" t="s">
        <v>2830</v>
      </c>
      <c r="E145" s="1852" t="s">
        <v>2831</v>
      </c>
      <c r="F145" s="1852" t="s">
        <v>2278</v>
      </c>
      <c r="G145" s="1852" t="s">
        <v>28</v>
      </c>
      <c r="H145" s="1852" t="s">
        <v>28</v>
      </c>
      <c r="I145" s="1852" t="s">
        <v>815</v>
      </c>
    </row>
    <row customHeight="1" ht="11.25">
      <c r="A146" s="1852" t="s">
        <v>2269</v>
      </c>
      <c r="B146" s="1852" t="s">
        <v>16</v>
      </c>
      <c r="C146" s="1852" t="s">
        <v>2832</v>
      </c>
      <c r="D146" s="1852" t="s">
        <v>2833</v>
      </c>
      <c r="E146" s="1852" t="s">
        <v>2834</v>
      </c>
      <c r="F146" s="1852" t="s">
        <v>2515</v>
      </c>
      <c r="G146" s="1852" t="s">
        <v>2835</v>
      </c>
      <c r="H146" s="1852" t="s">
        <v>28</v>
      </c>
      <c r="I146" s="1852" t="s">
        <v>815</v>
      </c>
    </row>
    <row customHeight="1" ht="11.25">
      <c r="A147" s="1852" t="s">
        <v>2269</v>
      </c>
      <c r="B147" s="1852" t="s">
        <v>16</v>
      </c>
      <c r="C147" s="1852" t="s">
        <v>2836</v>
      </c>
      <c r="D147" s="1852" t="s">
        <v>2837</v>
      </c>
      <c r="E147" s="1852" t="s">
        <v>2838</v>
      </c>
      <c r="F147" s="1852" t="s">
        <v>2354</v>
      </c>
      <c r="G147" s="1852" t="s">
        <v>28</v>
      </c>
      <c r="H147" s="1852" t="s">
        <v>28</v>
      </c>
      <c r="I147" s="1852" t="s">
        <v>815</v>
      </c>
    </row>
    <row customHeight="1" ht="11.25">
      <c r="A148" s="1852" t="s">
        <v>2269</v>
      </c>
      <c r="B148" s="1852" t="s">
        <v>16</v>
      </c>
      <c r="C148" s="1852" t="s">
        <v>2839</v>
      </c>
      <c r="D148" s="1852" t="s">
        <v>2840</v>
      </c>
      <c r="E148" s="1852" t="s">
        <v>2841</v>
      </c>
      <c r="F148" s="1852" t="s">
        <v>2842</v>
      </c>
      <c r="G148" s="1852" t="s">
        <v>28</v>
      </c>
      <c r="H148" s="1852" t="s">
        <v>28</v>
      </c>
      <c r="I148" s="1852" t="s">
        <v>815</v>
      </c>
    </row>
    <row customHeight="1" ht="11.25">
      <c r="A149" s="1852" t="s">
        <v>2269</v>
      </c>
      <c r="B149" s="1852" t="s">
        <v>16</v>
      </c>
      <c r="C149" s="1852" t="s">
        <v>2843</v>
      </c>
      <c r="D149" s="1852" t="s">
        <v>2844</v>
      </c>
      <c r="E149" s="1852" t="s">
        <v>2845</v>
      </c>
      <c r="F149" s="1852" t="s">
        <v>2461</v>
      </c>
      <c r="G149" s="1852" t="s">
        <v>28</v>
      </c>
      <c r="H149" s="1852" t="s">
        <v>28</v>
      </c>
      <c r="I149" s="1852" t="s">
        <v>815</v>
      </c>
    </row>
    <row customHeight="1" ht="11.25">
      <c r="A150" s="1852" t="s">
        <v>2269</v>
      </c>
      <c r="B150" s="1852" t="s">
        <v>16</v>
      </c>
      <c r="C150" s="1852" t="s">
        <v>2270</v>
      </c>
      <c r="D150" s="1852" t="s">
        <v>2271</v>
      </c>
      <c r="E150" s="1852" t="s">
        <v>2272</v>
      </c>
      <c r="F150" s="1852" t="s">
        <v>2273</v>
      </c>
      <c r="G150" s="1852" t="s">
        <v>2274</v>
      </c>
      <c r="H150" s="1852" t="s">
        <v>28</v>
      </c>
      <c r="I150" s="1852" t="s">
        <v>901</v>
      </c>
    </row>
    <row customHeight="1" ht="11.25">
      <c r="A151" s="1852" t="s">
        <v>2269</v>
      </c>
      <c r="B151" s="1852" t="s">
        <v>16</v>
      </c>
      <c r="C151" s="1852" t="s">
        <v>2279</v>
      </c>
      <c r="D151" s="1852" t="s">
        <v>2280</v>
      </c>
      <c r="E151" s="1852" t="s">
        <v>2281</v>
      </c>
      <c r="F151" s="1852" t="s">
        <v>2282</v>
      </c>
      <c r="G151" s="1852" t="s">
        <v>2283</v>
      </c>
      <c r="H151" s="1852" t="s">
        <v>28</v>
      </c>
      <c r="I151" s="1852" t="s">
        <v>901</v>
      </c>
    </row>
    <row customHeight="1" ht="11.25">
      <c r="A152" s="1852" t="s">
        <v>2269</v>
      </c>
      <c r="B152" s="1852" t="s">
        <v>16</v>
      </c>
      <c r="C152" s="1852" t="s">
        <v>2284</v>
      </c>
      <c r="D152" s="1852" t="s">
        <v>2285</v>
      </c>
      <c r="E152" s="1852" t="s">
        <v>2286</v>
      </c>
      <c r="F152" s="1852" t="s">
        <v>2287</v>
      </c>
      <c r="G152" s="1852" t="s">
        <v>2288</v>
      </c>
      <c r="H152" s="1852" t="s">
        <v>28</v>
      </c>
      <c r="I152" s="1852" t="s">
        <v>901</v>
      </c>
    </row>
    <row customHeight="1" ht="11.25">
      <c r="A153" s="1852" t="s">
        <v>2269</v>
      </c>
      <c r="B153" s="1852" t="s">
        <v>16</v>
      </c>
      <c r="C153" s="1852" t="s">
        <v>2289</v>
      </c>
      <c r="D153" s="1852" t="s">
        <v>2290</v>
      </c>
      <c r="E153" s="1852" t="s">
        <v>2291</v>
      </c>
      <c r="F153" s="1852" t="s">
        <v>2292</v>
      </c>
      <c r="G153" s="1852" t="s">
        <v>2293</v>
      </c>
      <c r="H153" s="1852" t="s">
        <v>28</v>
      </c>
      <c r="I153" s="1852" t="s">
        <v>901</v>
      </c>
    </row>
    <row customHeight="1" ht="11.25">
      <c r="A154" s="1852" t="s">
        <v>2269</v>
      </c>
      <c r="B154" s="1852" t="s">
        <v>16</v>
      </c>
      <c r="C154" s="1852" t="s">
        <v>2294</v>
      </c>
      <c r="D154" s="1852" t="s">
        <v>2295</v>
      </c>
      <c r="E154" s="1852" t="s">
        <v>2296</v>
      </c>
      <c r="F154" s="1852" t="s">
        <v>2297</v>
      </c>
      <c r="G154" s="1852" t="s">
        <v>2298</v>
      </c>
      <c r="H154" s="1852" t="s">
        <v>28</v>
      </c>
      <c r="I154" s="1852" t="s">
        <v>901</v>
      </c>
    </row>
    <row customHeight="1" ht="11.25">
      <c r="A155" s="1852" t="s">
        <v>2269</v>
      </c>
      <c r="B155" s="1852" t="s">
        <v>16</v>
      </c>
      <c r="C155" s="1852" t="s">
        <v>13</v>
      </c>
      <c r="D155" s="1852" t="s">
        <v>48</v>
      </c>
      <c r="E155" s="1852" t="s">
        <v>51</v>
      </c>
      <c r="F155" s="1852" t="s">
        <v>53</v>
      </c>
      <c r="G155" s="1852" t="s">
        <v>28</v>
      </c>
      <c r="H155" s="1852" t="s">
        <v>28</v>
      </c>
      <c r="I155" s="1852" t="s">
        <v>901</v>
      </c>
    </row>
    <row customHeight="1" ht="11.25">
      <c r="A156" s="1852" t="s">
        <v>2269</v>
      </c>
      <c r="B156" s="1852" t="s">
        <v>16</v>
      </c>
      <c r="C156" s="1852" t="s">
        <v>2304</v>
      </c>
      <c r="D156" s="1852" t="s">
        <v>2305</v>
      </c>
      <c r="E156" s="1852" t="s">
        <v>2306</v>
      </c>
      <c r="F156" s="1852" t="s">
        <v>2307</v>
      </c>
      <c r="G156" s="1852" t="s">
        <v>28</v>
      </c>
      <c r="H156" s="1852" t="s">
        <v>28</v>
      </c>
      <c r="I156" s="1852" t="s">
        <v>901</v>
      </c>
    </row>
    <row customHeight="1" ht="11.25">
      <c r="A157" s="1852" t="s">
        <v>2269</v>
      </c>
      <c r="B157" s="1852" t="s">
        <v>16</v>
      </c>
      <c r="C157" s="1852" t="s">
        <v>28</v>
      </c>
      <c r="D157" s="1852" t="s">
        <v>2318</v>
      </c>
      <c r="E157" s="1852" t="s">
        <v>2319</v>
      </c>
      <c r="F157" s="1852" t="s">
        <v>2311</v>
      </c>
      <c r="G157" s="1852" t="s">
        <v>28</v>
      </c>
      <c r="H157" s="1852" t="s">
        <v>28</v>
      </c>
      <c r="I157" s="1852" t="s">
        <v>901</v>
      </c>
    </row>
    <row customHeight="1" ht="11.25">
      <c r="A158" s="1852" t="s">
        <v>2269</v>
      </c>
      <c r="B158" s="1852" t="s">
        <v>16</v>
      </c>
      <c r="C158" s="1852" t="s">
        <v>2320</v>
      </c>
      <c r="D158" s="1852" t="s">
        <v>2321</v>
      </c>
      <c r="E158" s="1852" t="s">
        <v>2286</v>
      </c>
      <c r="F158" s="1852" t="s">
        <v>2311</v>
      </c>
      <c r="G158" s="1852" t="s">
        <v>28</v>
      </c>
      <c r="H158" s="1852" t="s">
        <v>28</v>
      </c>
      <c r="I158" s="1852" t="s">
        <v>901</v>
      </c>
    </row>
    <row customHeight="1" ht="11.25">
      <c r="A159" s="1852" t="s">
        <v>2269</v>
      </c>
      <c r="B159" s="1852" t="s">
        <v>16</v>
      </c>
      <c r="C159" s="1852" t="s">
        <v>2338</v>
      </c>
      <c r="D159" s="1852" t="s">
        <v>2339</v>
      </c>
      <c r="E159" s="1852" t="s">
        <v>2340</v>
      </c>
      <c r="F159" s="1852" t="s">
        <v>583</v>
      </c>
      <c r="G159" s="1852" t="s">
        <v>2341</v>
      </c>
      <c r="H159" s="1852" t="s">
        <v>28</v>
      </c>
      <c r="I159" s="1852" t="s">
        <v>901</v>
      </c>
    </row>
    <row customHeight="1" ht="11.25">
      <c r="A160" s="1852" t="s">
        <v>2269</v>
      </c>
      <c r="B160" s="1852" t="s">
        <v>16</v>
      </c>
      <c r="C160" s="1852" t="s">
        <v>2342</v>
      </c>
      <c r="D160" s="1852" t="s">
        <v>2343</v>
      </c>
      <c r="E160" s="1852" t="s">
        <v>2344</v>
      </c>
      <c r="F160" s="1852" t="s">
        <v>583</v>
      </c>
      <c r="G160" s="1852" t="s">
        <v>2345</v>
      </c>
      <c r="H160" s="1852" t="s">
        <v>2346</v>
      </c>
      <c r="I160" s="1852" t="s">
        <v>901</v>
      </c>
    </row>
    <row customHeight="1" ht="11.25">
      <c r="A161" s="1852" t="s">
        <v>2269</v>
      </c>
      <c r="B161" s="1852" t="s">
        <v>16</v>
      </c>
      <c r="C161" s="1852" t="s">
        <v>2355</v>
      </c>
      <c r="D161" s="1852" t="s">
        <v>2356</v>
      </c>
      <c r="E161" s="1852" t="s">
        <v>2357</v>
      </c>
      <c r="F161" s="1852" t="s">
        <v>2297</v>
      </c>
      <c r="G161" s="1852" t="s">
        <v>2358</v>
      </c>
      <c r="H161" s="1852" t="s">
        <v>28</v>
      </c>
      <c r="I161" s="1852" t="s">
        <v>901</v>
      </c>
    </row>
    <row customHeight="1" ht="11.25">
      <c r="A162" s="1852" t="s">
        <v>2269</v>
      </c>
      <c r="B162" s="1852" t="s">
        <v>16</v>
      </c>
      <c r="C162" s="1852" t="s">
        <v>2359</v>
      </c>
      <c r="D162" s="1852" t="s">
        <v>2360</v>
      </c>
      <c r="E162" s="1852" t="s">
        <v>2361</v>
      </c>
      <c r="F162" s="1852" t="s">
        <v>2297</v>
      </c>
      <c r="G162" s="1852" t="s">
        <v>28</v>
      </c>
      <c r="H162" s="1852" t="s">
        <v>28</v>
      </c>
      <c r="I162" s="1852" t="s">
        <v>901</v>
      </c>
    </row>
    <row customHeight="1" ht="11.25">
      <c r="A163" s="1852" t="s">
        <v>2269</v>
      </c>
      <c r="B163" s="1852" t="s">
        <v>16</v>
      </c>
      <c r="C163" s="1852" t="s">
        <v>2362</v>
      </c>
      <c r="D163" s="1852" t="s">
        <v>2363</v>
      </c>
      <c r="E163" s="1852" t="s">
        <v>2364</v>
      </c>
      <c r="F163" s="1852" t="s">
        <v>2311</v>
      </c>
      <c r="G163" s="1852" t="s">
        <v>28</v>
      </c>
      <c r="H163" s="1852" t="s">
        <v>28</v>
      </c>
      <c r="I163" s="1852" t="s">
        <v>901</v>
      </c>
    </row>
    <row customHeight="1" ht="11.25">
      <c r="A164" s="1852" t="s">
        <v>2269</v>
      </c>
      <c r="B164" s="1852" t="s">
        <v>16</v>
      </c>
      <c r="C164" s="1852" t="s">
        <v>2438</v>
      </c>
      <c r="D164" s="1852" t="s">
        <v>2439</v>
      </c>
      <c r="E164" s="1852" t="s">
        <v>2440</v>
      </c>
      <c r="F164" s="1852" t="s">
        <v>2292</v>
      </c>
      <c r="G164" s="1852" t="s">
        <v>2441</v>
      </c>
      <c r="H164" s="1852" t="s">
        <v>28</v>
      </c>
      <c r="I164" s="1852" t="s">
        <v>901</v>
      </c>
    </row>
    <row customHeight="1" ht="11.25">
      <c r="A165" s="1852" t="s">
        <v>2269</v>
      </c>
      <c r="B165" s="1852" t="s">
        <v>16</v>
      </c>
      <c r="C165" s="1852" t="s">
        <v>2442</v>
      </c>
      <c r="D165" s="1852" t="s">
        <v>2443</v>
      </c>
      <c r="E165" s="1852" t="s">
        <v>2444</v>
      </c>
      <c r="F165" s="1852" t="s">
        <v>2372</v>
      </c>
      <c r="G165" s="1852" t="s">
        <v>28</v>
      </c>
      <c r="H165" s="1852" t="s">
        <v>28</v>
      </c>
      <c r="I165" s="1852" t="s">
        <v>901</v>
      </c>
    </row>
    <row customHeight="1" ht="11.25">
      <c r="A166" s="1852" t="s">
        <v>2269</v>
      </c>
      <c r="B166" s="1852" t="s">
        <v>16</v>
      </c>
      <c r="C166" s="1852" t="s">
        <v>2458</v>
      </c>
      <c r="D166" s="1852" t="s">
        <v>2459</v>
      </c>
      <c r="E166" s="1852" t="s">
        <v>2460</v>
      </c>
      <c r="F166" s="1852" t="s">
        <v>2461</v>
      </c>
      <c r="G166" s="1852" t="s">
        <v>2462</v>
      </c>
      <c r="H166" s="1852" t="s">
        <v>28</v>
      </c>
      <c r="I166" s="1852" t="s">
        <v>901</v>
      </c>
    </row>
    <row customHeight="1" ht="11.25">
      <c r="A167" s="1852" t="s">
        <v>2269</v>
      </c>
      <c r="B167" s="1852" t="s">
        <v>16</v>
      </c>
      <c r="C167" s="1852" t="s">
        <v>2472</v>
      </c>
      <c r="D167" s="1852" t="s">
        <v>2473</v>
      </c>
      <c r="E167" s="1852" t="s">
        <v>2474</v>
      </c>
      <c r="F167" s="1852" t="s">
        <v>2278</v>
      </c>
      <c r="G167" s="1852" t="s">
        <v>2475</v>
      </c>
      <c r="H167" s="1852" t="s">
        <v>28</v>
      </c>
      <c r="I167" s="1852" t="s">
        <v>901</v>
      </c>
    </row>
    <row customHeight="1" ht="11.25">
      <c r="A168" s="1852" t="s">
        <v>2269</v>
      </c>
      <c r="B168" s="1852" t="s">
        <v>16</v>
      </c>
      <c r="C168" s="1852" t="s">
        <v>2476</v>
      </c>
      <c r="D168" s="1852" t="s">
        <v>2477</v>
      </c>
      <c r="E168" s="1852" t="s">
        <v>2478</v>
      </c>
      <c r="F168" s="1852" t="s">
        <v>2282</v>
      </c>
      <c r="G168" s="1852" t="s">
        <v>28</v>
      </c>
      <c r="H168" s="1852" t="s">
        <v>28</v>
      </c>
      <c r="I168" s="1852" t="s">
        <v>901</v>
      </c>
    </row>
    <row customHeight="1" ht="11.25">
      <c r="A169" s="1852" t="s">
        <v>2269</v>
      </c>
      <c r="B169" s="1852" t="s">
        <v>16</v>
      </c>
      <c r="C169" s="1852" t="s">
        <v>2479</v>
      </c>
      <c r="D169" s="1852" t="s">
        <v>2480</v>
      </c>
      <c r="E169" s="1852" t="s">
        <v>2481</v>
      </c>
      <c r="F169" s="1852" t="s">
        <v>2482</v>
      </c>
      <c r="G169" s="1852" t="s">
        <v>28</v>
      </c>
      <c r="H169" s="1852" t="s">
        <v>28</v>
      </c>
      <c r="I169" s="1852" t="s">
        <v>901</v>
      </c>
    </row>
    <row customHeight="1" ht="11.25">
      <c r="A170" s="1852" t="s">
        <v>2269</v>
      </c>
      <c r="B170" s="1852" t="s">
        <v>16</v>
      </c>
      <c r="C170" s="1852" t="s">
        <v>2483</v>
      </c>
      <c r="D170" s="1852" t="s">
        <v>2484</v>
      </c>
      <c r="E170" s="1852" t="s">
        <v>2485</v>
      </c>
      <c r="F170" s="1852" t="s">
        <v>2297</v>
      </c>
      <c r="G170" s="1852" t="s">
        <v>28</v>
      </c>
      <c r="H170" s="1852" t="s">
        <v>28</v>
      </c>
      <c r="I170" s="1852" t="s">
        <v>901</v>
      </c>
    </row>
    <row customHeight="1" ht="11.25">
      <c r="A171" s="1852" t="s">
        <v>2269</v>
      </c>
      <c r="B171" s="1852" t="s">
        <v>16</v>
      </c>
      <c r="C171" s="1852" t="s">
        <v>2505</v>
      </c>
      <c r="D171" s="1852" t="s">
        <v>2506</v>
      </c>
      <c r="E171" s="1852" t="s">
        <v>2507</v>
      </c>
      <c r="F171" s="1852" t="s">
        <v>2399</v>
      </c>
      <c r="G171" s="1852" t="s">
        <v>2508</v>
      </c>
      <c r="H171" s="1852" t="s">
        <v>28</v>
      </c>
      <c r="I171" s="1852" t="s">
        <v>901</v>
      </c>
    </row>
    <row customHeight="1" ht="11.25">
      <c r="A172" s="1852" t="s">
        <v>2269</v>
      </c>
      <c r="B172" s="1852" t="s">
        <v>16</v>
      </c>
      <c r="C172" s="1852" t="s">
        <v>2512</v>
      </c>
      <c r="D172" s="1852" t="s">
        <v>2513</v>
      </c>
      <c r="E172" s="1852" t="s">
        <v>2514</v>
      </c>
      <c r="F172" s="1852" t="s">
        <v>2515</v>
      </c>
      <c r="G172" s="1852" t="s">
        <v>2516</v>
      </c>
      <c r="H172" s="1852" t="s">
        <v>28</v>
      </c>
      <c r="I172" s="1852" t="s">
        <v>901</v>
      </c>
    </row>
    <row customHeight="1" ht="11.25">
      <c r="A173" s="1852" t="s">
        <v>2269</v>
      </c>
      <c r="B173" s="1852" t="s">
        <v>16</v>
      </c>
      <c r="C173" s="1852" t="s">
        <v>2521</v>
      </c>
      <c r="D173" s="1852" t="s">
        <v>2522</v>
      </c>
      <c r="E173" s="1852" t="s">
        <v>2523</v>
      </c>
      <c r="F173" s="1852" t="s">
        <v>2524</v>
      </c>
      <c r="G173" s="1852" t="s">
        <v>2525</v>
      </c>
      <c r="H173" s="1852" t="s">
        <v>28</v>
      </c>
      <c r="I173" s="1852" t="s">
        <v>901</v>
      </c>
    </row>
    <row customHeight="1" ht="11.25">
      <c r="A174" s="1852" t="s">
        <v>2269</v>
      </c>
      <c r="B174" s="1852" t="s">
        <v>16</v>
      </c>
      <c r="C174" s="1852" t="s">
        <v>2526</v>
      </c>
      <c r="D174" s="1852" t="s">
        <v>2527</v>
      </c>
      <c r="E174" s="1852" t="s">
        <v>2528</v>
      </c>
      <c r="F174" s="1852" t="s">
        <v>2529</v>
      </c>
      <c r="G174" s="1852" t="s">
        <v>2530</v>
      </c>
      <c r="H174" s="1852" t="s">
        <v>28</v>
      </c>
      <c r="I174" s="1852" t="s">
        <v>901</v>
      </c>
    </row>
    <row customHeight="1" ht="11.25">
      <c r="A175" s="1852" t="s">
        <v>2269</v>
      </c>
      <c r="B175" s="1852" t="s">
        <v>16</v>
      </c>
      <c r="C175" s="1852" t="s">
        <v>2535</v>
      </c>
      <c r="D175" s="1852" t="s">
        <v>2536</v>
      </c>
      <c r="E175" s="1852" t="s">
        <v>2537</v>
      </c>
      <c r="F175" s="1852" t="s">
        <v>2292</v>
      </c>
      <c r="G175" s="1852" t="s">
        <v>2538</v>
      </c>
      <c r="H175" s="1852" t="s">
        <v>28</v>
      </c>
      <c r="I175" s="1852" t="s">
        <v>901</v>
      </c>
    </row>
    <row customHeight="1" ht="11.25">
      <c r="A176" s="1852" t="s">
        <v>2269</v>
      </c>
      <c r="B176" s="1852" t="s">
        <v>16</v>
      </c>
      <c r="C176" s="1852" t="s">
        <v>2548</v>
      </c>
      <c r="D176" s="1852" t="s">
        <v>2549</v>
      </c>
      <c r="E176" s="1852" t="s">
        <v>2550</v>
      </c>
      <c r="F176" s="1852" t="s">
        <v>2311</v>
      </c>
      <c r="G176" s="1852" t="s">
        <v>28</v>
      </c>
      <c r="H176" s="1852" t="s">
        <v>28</v>
      </c>
      <c r="I176" s="1852" t="s">
        <v>901</v>
      </c>
    </row>
    <row customHeight="1" ht="11.25">
      <c r="A177" s="1852" t="s">
        <v>2269</v>
      </c>
      <c r="B177" s="1852" t="s">
        <v>16</v>
      </c>
      <c r="C177" s="1852" t="s">
        <v>2594</v>
      </c>
      <c r="D177" s="1852" t="s">
        <v>2595</v>
      </c>
      <c r="E177" s="1852" t="s">
        <v>2596</v>
      </c>
      <c r="F177" s="1852" t="s">
        <v>2282</v>
      </c>
      <c r="G177" s="1852" t="s">
        <v>2597</v>
      </c>
      <c r="H177" s="1852" t="s">
        <v>28</v>
      </c>
      <c r="I177" s="1852" t="s">
        <v>901</v>
      </c>
    </row>
    <row customHeight="1" ht="11.25">
      <c r="A178" s="1852" t="s">
        <v>2269</v>
      </c>
      <c r="B178" s="1852" t="s">
        <v>16</v>
      </c>
      <c r="C178" s="1852" t="s">
        <v>2598</v>
      </c>
      <c r="D178" s="1852" t="s">
        <v>2599</v>
      </c>
      <c r="E178" s="1852" t="s">
        <v>2600</v>
      </c>
      <c r="F178" s="1852" t="s">
        <v>2311</v>
      </c>
      <c r="G178" s="1852" t="s">
        <v>2601</v>
      </c>
      <c r="H178" s="1852" t="s">
        <v>28</v>
      </c>
      <c r="I178" s="1852" t="s">
        <v>901</v>
      </c>
    </row>
    <row customHeight="1" ht="11.25">
      <c r="A179" s="1852" t="s">
        <v>2269</v>
      </c>
      <c r="B179" s="1852" t="s">
        <v>16</v>
      </c>
      <c r="C179" s="1852" t="s">
        <v>2636</v>
      </c>
      <c r="D179" s="1852" t="s">
        <v>2637</v>
      </c>
      <c r="E179" s="1852" t="s">
        <v>2638</v>
      </c>
      <c r="F179" s="1852" t="s">
        <v>2311</v>
      </c>
      <c r="G179" s="1852" t="s">
        <v>2639</v>
      </c>
      <c r="H179" s="1852" t="s">
        <v>28</v>
      </c>
      <c r="I179" s="1852" t="s">
        <v>901</v>
      </c>
    </row>
    <row customHeight="1" ht="11.25">
      <c r="A180" s="1852" t="s">
        <v>2269</v>
      </c>
      <c r="B180" s="1852" t="s">
        <v>16</v>
      </c>
      <c r="C180" s="1852" t="s">
        <v>2647</v>
      </c>
      <c r="D180" s="1852" t="s">
        <v>2648</v>
      </c>
      <c r="E180" s="1852" t="s">
        <v>2649</v>
      </c>
      <c r="F180" s="1852" t="s">
        <v>2311</v>
      </c>
      <c r="G180" s="1852" t="s">
        <v>2650</v>
      </c>
      <c r="H180" s="1852" t="s">
        <v>28</v>
      </c>
      <c r="I180" s="1852" t="s">
        <v>901</v>
      </c>
    </row>
    <row customHeight="1" ht="11.25">
      <c r="A181" s="1852" t="s">
        <v>2269</v>
      </c>
      <c r="B181" s="1852" t="s">
        <v>16</v>
      </c>
      <c r="C181" s="1852" t="s">
        <v>2651</v>
      </c>
      <c r="D181" s="1852" t="s">
        <v>2648</v>
      </c>
      <c r="E181" s="1852" t="s">
        <v>2649</v>
      </c>
      <c r="F181" s="1852" t="s">
        <v>2292</v>
      </c>
      <c r="G181" s="1852" t="s">
        <v>28</v>
      </c>
      <c r="H181" s="1852" t="s">
        <v>28</v>
      </c>
      <c r="I181" s="1852" t="s">
        <v>901</v>
      </c>
    </row>
    <row customHeight="1" ht="11.25">
      <c r="A182" s="1852" t="s">
        <v>2269</v>
      </c>
      <c r="B182" s="1852" t="s">
        <v>16</v>
      </c>
      <c r="C182" s="1852" t="s">
        <v>2658</v>
      </c>
      <c r="D182" s="1852" t="s">
        <v>2659</v>
      </c>
      <c r="E182" s="1852" t="s">
        <v>2660</v>
      </c>
      <c r="F182" s="1852" t="s">
        <v>2661</v>
      </c>
      <c r="G182" s="1852" t="s">
        <v>28</v>
      </c>
      <c r="H182" s="1852" t="s">
        <v>28</v>
      </c>
      <c r="I182" s="1852" t="s">
        <v>901</v>
      </c>
    </row>
    <row customHeight="1" ht="11.25">
      <c r="A183" s="1852" t="s">
        <v>2269</v>
      </c>
      <c r="B183" s="1852" t="s">
        <v>16</v>
      </c>
      <c r="C183" s="1852" t="s">
        <v>2662</v>
      </c>
      <c r="D183" s="1852" t="s">
        <v>2663</v>
      </c>
      <c r="E183" s="1852" t="s">
        <v>2664</v>
      </c>
      <c r="F183" s="1852" t="s">
        <v>2311</v>
      </c>
      <c r="G183" s="1852" t="s">
        <v>2665</v>
      </c>
      <c r="H183" s="1852" t="s">
        <v>28</v>
      </c>
      <c r="I183" s="1852" t="s">
        <v>901</v>
      </c>
    </row>
    <row customHeight="1" ht="11.25">
      <c r="A184" s="1852" t="s">
        <v>2269</v>
      </c>
      <c r="B184" s="1852" t="s">
        <v>16</v>
      </c>
      <c r="C184" s="1852" t="s">
        <v>2666</v>
      </c>
      <c r="D184" s="1852" t="s">
        <v>2667</v>
      </c>
      <c r="E184" s="1852" t="s">
        <v>2668</v>
      </c>
      <c r="F184" s="1852" t="s">
        <v>2311</v>
      </c>
      <c r="G184" s="1852" t="s">
        <v>28</v>
      </c>
      <c r="H184" s="1852" t="s">
        <v>28</v>
      </c>
      <c r="I184" s="1852" t="s">
        <v>901</v>
      </c>
    </row>
    <row customHeight="1" ht="11.25">
      <c r="A185" s="1852" t="s">
        <v>2269</v>
      </c>
      <c r="B185" s="1852" t="s">
        <v>16</v>
      </c>
      <c r="C185" s="1852" t="s">
        <v>2669</v>
      </c>
      <c r="D185" s="1852" t="s">
        <v>2670</v>
      </c>
      <c r="E185" s="1852" t="s">
        <v>2671</v>
      </c>
      <c r="F185" s="1852" t="s">
        <v>2672</v>
      </c>
      <c r="G185" s="1852" t="s">
        <v>2673</v>
      </c>
      <c r="H185" s="1852" t="s">
        <v>28</v>
      </c>
      <c r="I185" s="1852" t="s">
        <v>901</v>
      </c>
    </row>
    <row customHeight="1" ht="11.25">
      <c r="A186" s="1852" t="s">
        <v>2269</v>
      </c>
      <c r="B186" s="1852" t="s">
        <v>16</v>
      </c>
      <c r="C186" s="1852" t="s">
        <v>2692</v>
      </c>
      <c r="D186" s="1852" t="s">
        <v>2693</v>
      </c>
      <c r="E186" s="1852" t="s">
        <v>2694</v>
      </c>
      <c r="F186" s="1852" t="s">
        <v>2311</v>
      </c>
      <c r="G186" s="1852" t="s">
        <v>2695</v>
      </c>
      <c r="H186" s="1852" t="s">
        <v>28</v>
      </c>
      <c r="I186" s="1852" t="s">
        <v>901</v>
      </c>
    </row>
    <row customHeight="1" ht="11.25">
      <c r="A187" s="1852" t="s">
        <v>2269</v>
      </c>
      <c r="B187" s="1852" t="s">
        <v>16</v>
      </c>
      <c r="C187" s="1852" t="s">
        <v>2703</v>
      </c>
      <c r="D187" s="1852" t="s">
        <v>2704</v>
      </c>
      <c r="E187" s="1852" t="s">
        <v>2705</v>
      </c>
      <c r="F187" s="1852" t="s">
        <v>2311</v>
      </c>
      <c r="G187" s="1852" t="s">
        <v>2706</v>
      </c>
      <c r="H187" s="1852" t="s">
        <v>28</v>
      </c>
      <c r="I187" s="1852" t="s">
        <v>901</v>
      </c>
    </row>
    <row customHeight="1" ht="11.25">
      <c r="A188" s="1852" t="s">
        <v>2269</v>
      </c>
      <c r="B188" s="1852" t="s">
        <v>16</v>
      </c>
      <c r="C188" s="1852" t="s">
        <v>2730</v>
      </c>
      <c r="D188" s="1852" t="s">
        <v>2731</v>
      </c>
      <c r="E188" s="1852" t="s">
        <v>2732</v>
      </c>
      <c r="F188" s="1852" t="s">
        <v>2733</v>
      </c>
      <c r="G188" s="1852" t="s">
        <v>28</v>
      </c>
      <c r="H188" s="1852" t="s">
        <v>28</v>
      </c>
      <c r="I188" s="1852" t="s">
        <v>901</v>
      </c>
    </row>
    <row customHeight="1" ht="11.25">
      <c r="A189" s="1852" t="s">
        <v>2269</v>
      </c>
      <c r="B189" s="1852" t="s">
        <v>16</v>
      </c>
      <c r="C189" s="1852" t="s">
        <v>2734</v>
      </c>
      <c r="D189" s="1852" t="s">
        <v>2735</v>
      </c>
      <c r="E189" s="1852" t="s">
        <v>2736</v>
      </c>
      <c r="F189" s="1852" t="s">
        <v>2278</v>
      </c>
      <c r="G189" s="1852" t="s">
        <v>2737</v>
      </c>
      <c r="H189" s="1852" t="s">
        <v>28</v>
      </c>
      <c r="I189" s="1852" t="s">
        <v>901</v>
      </c>
    </row>
    <row customHeight="1" ht="11.25">
      <c r="A190" s="1852" t="s">
        <v>2269</v>
      </c>
      <c r="B190" s="1852" t="s">
        <v>16</v>
      </c>
      <c r="C190" s="1852" t="s">
        <v>2742</v>
      </c>
      <c r="D190" s="1852" t="s">
        <v>2743</v>
      </c>
      <c r="E190" s="1852" t="s">
        <v>2744</v>
      </c>
      <c r="F190" s="1852" t="s">
        <v>2745</v>
      </c>
      <c r="G190" s="1852" t="s">
        <v>2746</v>
      </c>
      <c r="H190" s="1852" t="s">
        <v>28</v>
      </c>
      <c r="I190" s="1852" t="s">
        <v>901</v>
      </c>
    </row>
    <row customHeight="1" ht="11.25">
      <c r="A191" s="1852" t="s">
        <v>2269</v>
      </c>
      <c r="B191" s="1852" t="s">
        <v>16</v>
      </c>
      <c r="C191" s="1852" t="s">
        <v>2747</v>
      </c>
      <c r="D191" s="1852" t="s">
        <v>2748</v>
      </c>
      <c r="E191" s="1852" t="s">
        <v>2749</v>
      </c>
      <c r="F191" s="1852" t="s">
        <v>2333</v>
      </c>
      <c r="G191" s="1852" t="s">
        <v>28</v>
      </c>
      <c r="H191" s="1852" t="s">
        <v>28</v>
      </c>
      <c r="I191" s="1852" t="s">
        <v>901</v>
      </c>
    </row>
    <row customHeight="1" ht="11.25">
      <c r="A192" s="1852" t="s">
        <v>2269</v>
      </c>
      <c r="B192" s="1852" t="s">
        <v>16</v>
      </c>
      <c r="C192" s="1852" t="s">
        <v>2750</v>
      </c>
      <c r="D192" s="1852" t="s">
        <v>2751</v>
      </c>
      <c r="E192" s="1852" t="s">
        <v>2752</v>
      </c>
      <c r="F192" s="1852" t="s">
        <v>2558</v>
      </c>
      <c r="G192" s="1852" t="s">
        <v>2753</v>
      </c>
      <c r="H192" s="1852" t="s">
        <v>28</v>
      </c>
      <c r="I192" s="1852" t="s">
        <v>901</v>
      </c>
    </row>
    <row customHeight="1" ht="11.25">
      <c r="A193" s="1852" t="s">
        <v>2269</v>
      </c>
      <c r="B193" s="1852" t="s">
        <v>16</v>
      </c>
      <c r="C193" s="1852" t="s">
        <v>2754</v>
      </c>
      <c r="D193" s="1852" t="s">
        <v>2755</v>
      </c>
      <c r="E193" s="1852" t="s">
        <v>2756</v>
      </c>
      <c r="F193" s="1852" t="s">
        <v>2282</v>
      </c>
      <c r="G193" s="1852" t="s">
        <v>28</v>
      </c>
      <c r="H193" s="1852" t="s">
        <v>28</v>
      </c>
      <c r="I193" s="1852" t="s">
        <v>901</v>
      </c>
    </row>
    <row customHeight="1" ht="11.25">
      <c r="A194" s="1852" t="s">
        <v>2269</v>
      </c>
      <c r="B194" s="1852" t="s">
        <v>16</v>
      </c>
      <c r="C194" s="1852" t="s">
        <v>2757</v>
      </c>
      <c r="D194" s="1852" t="s">
        <v>2758</v>
      </c>
      <c r="E194" s="1852" t="s">
        <v>2759</v>
      </c>
      <c r="F194" s="1852" t="s">
        <v>2745</v>
      </c>
      <c r="G194" s="1852" t="s">
        <v>28</v>
      </c>
      <c r="H194" s="1852" t="s">
        <v>28</v>
      </c>
      <c r="I194" s="1852" t="s">
        <v>901</v>
      </c>
    </row>
    <row customHeight="1" ht="11.25">
      <c r="A195" s="1852" t="s">
        <v>2269</v>
      </c>
      <c r="B195" s="1852" t="s">
        <v>16</v>
      </c>
      <c r="C195" s="1852" t="s">
        <v>2787</v>
      </c>
      <c r="D195" s="1852" t="s">
        <v>2788</v>
      </c>
      <c r="E195" s="1852" t="s">
        <v>2789</v>
      </c>
      <c r="F195" s="1852" t="s">
        <v>2297</v>
      </c>
      <c r="G195" s="1852" t="s">
        <v>28</v>
      </c>
      <c r="H195" s="1852" t="s">
        <v>28</v>
      </c>
      <c r="I195" s="1852" t="s">
        <v>901</v>
      </c>
    </row>
    <row customHeight="1" ht="11.25">
      <c r="A196" s="1852" t="s">
        <v>2269</v>
      </c>
      <c r="B196" s="1852" t="s">
        <v>16</v>
      </c>
      <c r="C196" s="1852" t="s">
        <v>2802</v>
      </c>
      <c r="D196" s="1852" t="s">
        <v>2803</v>
      </c>
      <c r="E196" s="1852" t="s">
        <v>2804</v>
      </c>
      <c r="F196" s="1852" t="s">
        <v>2805</v>
      </c>
      <c r="G196" s="1852" t="s">
        <v>2806</v>
      </c>
      <c r="H196" s="1852" t="s">
        <v>28</v>
      </c>
      <c r="I196" s="1852" t="s">
        <v>901</v>
      </c>
    </row>
    <row customHeight="1" ht="11.25">
      <c r="A197" s="1852" t="s">
        <v>2269</v>
      </c>
      <c r="B197" s="1852" t="s">
        <v>16</v>
      </c>
      <c r="C197" s="1852" t="s">
        <v>2817</v>
      </c>
      <c r="D197" s="1852" t="s">
        <v>2814</v>
      </c>
      <c r="E197" s="1852" t="s">
        <v>2315</v>
      </c>
      <c r="F197" s="1852" t="s">
        <v>2818</v>
      </c>
      <c r="G197" s="1852" t="s">
        <v>2816</v>
      </c>
      <c r="H197" s="1852" t="s">
        <v>28</v>
      </c>
      <c r="I197" s="1852" t="s">
        <v>901</v>
      </c>
    </row>
    <row customHeight="1" ht="11.25">
      <c r="A198" s="1852" t="s">
        <v>2269</v>
      </c>
      <c r="B198" s="1852" t="s">
        <v>16</v>
      </c>
      <c r="C198" s="1852" t="s">
        <v>2825</v>
      </c>
      <c r="D198" s="1852" t="s">
        <v>2826</v>
      </c>
      <c r="E198" s="1852" t="s">
        <v>2827</v>
      </c>
      <c r="F198" s="1852" t="s">
        <v>2828</v>
      </c>
      <c r="G198" s="1852" t="s">
        <v>28</v>
      </c>
      <c r="H198" s="1852" t="s">
        <v>28</v>
      </c>
      <c r="I198" s="1852" t="s">
        <v>901</v>
      </c>
    </row>
    <row customHeight="1" ht="11.25">
      <c r="A199" s="1852" t="s">
        <v>2269</v>
      </c>
      <c r="B199" s="1852" t="s">
        <v>16</v>
      </c>
      <c r="C199" s="1852" t="s">
        <v>2829</v>
      </c>
      <c r="D199" s="1852" t="s">
        <v>2830</v>
      </c>
      <c r="E199" s="1852" t="s">
        <v>2831</v>
      </c>
      <c r="F199" s="1852" t="s">
        <v>2278</v>
      </c>
      <c r="G199" s="1852" t="s">
        <v>28</v>
      </c>
      <c r="H199" s="1852" t="s">
        <v>28</v>
      </c>
      <c r="I199" s="1852" t="s">
        <v>901</v>
      </c>
    </row>
    <row customHeight="1" ht="11.25">
      <c r="A200" s="1852" t="s">
        <v>2269</v>
      </c>
      <c r="B200" s="1852" t="s">
        <v>16</v>
      </c>
      <c r="C200" s="1852" t="s">
        <v>2832</v>
      </c>
      <c r="D200" s="1852" t="s">
        <v>2833</v>
      </c>
      <c r="E200" s="1852" t="s">
        <v>2834</v>
      </c>
      <c r="F200" s="1852" t="s">
        <v>2515</v>
      </c>
      <c r="G200" s="1852" t="s">
        <v>2835</v>
      </c>
      <c r="H200" s="1852" t="s">
        <v>28</v>
      </c>
      <c r="I200" s="1852" t="s">
        <v>901</v>
      </c>
    </row>
    <row customHeight="1" ht="11.25">
      <c r="A201" s="1852" t="s">
        <v>2269</v>
      </c>
      <c r="B201" s="1852" t="s">
        <v>16</v>
      </c>
      <c r="C201" s="1852" t="s">
        <v>2270</v>
      </c>
      <c r="D201" s="1852" t="s">
        <v>2271</v>
      </c>
      <c r="E201" s="1852" t="s">
        <v>2272</v>
      </c>
      <c r="F201" s="1852" t="s">
        <v>2273</v>
      </c>
      <c r="G201" s="1852" t="s">
        <v>2274</v>
      </c>
      <c r="H201" s="1852" t="s">
        <v>28</v>
      </c>
      <c r="I201" s="1852" t="s">
        <v>861</v>
      </c>
    </row>
    <row customHeight="1" ht="11.25">
      <c r="A202" s="1852" t="s">
        <v>2269</v>
      </c>
      <c r="B202" s="1852" t="s">
        <v>16</v>
      </c>
      <c r="C202" s="1852" t="s">
        <v>2289</v>
      </c>
      <c r="D202" s="1852" t="s">
        <v>2290</v>
      </c>
      <c r="E202" s="1852" t="s">
        <v>2291</v>
      </c>
      <c r="F202" s="1852" t="s">
        <v>2292</v>
      </c>
      <c r="G202" s="1852" t="s">
        <v>2293</v>
      </c>
      <c r="H202" s="1852" t="s">
        <v>28</v>
      </c>
      <c r="I202" s="1852" t="s">
        <v>861</v>
      </c>
    </row>
    <row customHeight="1" ht="11.25">
      <c r="A203" s="1852" t="s">
        <v>2269</v>
      </c>
      <c r="B203" s="1852" t="s">
        <v>16</v>
      </c>
      <c r="C203" s="1852" t="s">
        <v>2846</v>
      </c>
      <c r="D203" s="1852" t="s">
        <v>2847</v>
      </c>
      <c r="E203" s="1852" t="s">
        <v>2848</v>
      </c>
      <c r="F203" s="1852" t="s">
        <v>2311</v>
      </c>
      <c r="G203" s="1852" t="s">
        <v>2849</v>
      </c>
      <c r="H203" s="1852" t="s">
        <v>28</v>
      </c>
      <c r="I203" s="1852" t="s">
        <v>861</v>
      </c>
    </row>
    <row customHeight="1" ht="11.25">
      <c r="A204" s="1852" t="s">
        <v>2269</v>
      </c>
      <c r="B204" s="1852" t="s">
        <v>16</v>
      </c>
      <c r="C204" s="1852" t="s">
        <v>2294</v>
      </c>
      <c r="D204" s="1852" t="s">
        <v>2295</v>
      </c>
      <c r="E204" s="1852" t="s">
        <v>2296</v>
      </c>
      <c r="F204" s="1852" t="s">
        <v>2297</v>
      </c>
      <c r="G204" s="1852" t="s">
        <v>2298</v>
      </c>
      <c r="H204" s="1852" t="s">
        <v>28</v>
      </c>
      <c r="I204" s="1852" t="s">
        <v>861</v>
      </c>
    </row>
    <row customHeight="1" ht="11.25">
      <c r="A205" s="1852" t="s">
        <v>2269</v>
      </c>
      <c r="B205" s="1852" t="s">
        <v>16</v>
      </c>
      <c r="C205" s="1852" t="s">
        <v>13</v>
      </c>
      <c r="D205" s="1852" t="s">
        <v>48</v>
      </c>
      <c r="E205" s="1852" t="s">
        <v>51</v>
      </c>
      <c r="F205" s="1852" t="s">
        <v>53</v>
      </c>
      <c r="G205" s="1852" t="s">
        <v>28</v>
      </c>
      <c r="H205" s="1852" t="s">
        <v>28</v>
      </c>
      <c r="I205" s="1852" t="s">
        <v>861</v>
      </c>
    </row>
    <row customHeight="1" ht="11.25">
      <c r="A206" s="1852" t="s">
        <v>2269</v>
      </c>
      <c r="B206" s="1852" t="s">
        <v>16</v>
      </c>
      <c r="C206" s="1852" t="s">
        <v>2308</v>
      </c>
      <c r="D206" s="1852" t="s">
        <v>2309</v>
      </c>
      <c r="E206" s="1852" t="s">
        <v>2310</v>
      </c>
      <c r="F206" s="1852" t="s">
        <v>2311</v>
      </c>
      <c r="G206" s="1852" t="s">
        <v>2312</v>
      </c>
      <c r="H206" s="1852" t="s">
        <v>28</v>
      </c>
      <c r="I206" s="1852" t="s">
        <v>861</v>
      </c>
    </row>
    <row customHeight="1" ht="11.25">
      <c r="A207" s="1852" t="s">
        <v>2269</v>
      </c>
      <c r="B207" s="1852" t="s">
        <v>16</v>
      </c>
      <c r="C207" s="1852" t="s">
        <v>28</v>
      </c>
      <c r="D207" s="1852" t="s">
        <v>2318</v>
      </c>
      <c r="E207" s="1852" t="s">
        <v>2319</v>
      </c>
      <c r="F207" s="1852" t="s">
        <v>2311</v>
      </c>
      <c r="G207" s="1852" t="s">
        <v>28</v>
      </c>
      <c r="H207" s="1852" t="s">
        <v>28</v>
      </c>
      <c r="I207" s="1852" t="s">
        <v>861</v>
      </c>
    </row>
    <row customHeight="1" ht="11.25">
      <c r="A208" s="1852" t="s">
        <v>2269</v>
      </c>
      <c r="B208" s="1852" t="s">
        <v>16</v>
      </c>
      <c r="C208" s="1852" t="s">
        <v>2850</v>
      </c>
      <c r="D208" s="1852" t="s">
        <v>2851</v>
      </c>
      <c r="E208" s="1852" t="s">
        <v>2852</v>
      </c>
      <c r="F208" s="1852" t="s">
        <v>2853</v>
      </c>
      <c r="G208" s="1852" t="s">
        <v>2854</v>
      </c>
      <c r="H208" s="1852" t="s">
        <v>28</v>
      </c>
      <c r="I208" s="1852" t="s">
        <v>861</v>
      </c>
    </row>
    <row customHeight="1" ht="11.25">
      <c r="A209" s="1852" t="s">
        <v>2269</v>
      </c>
      <c r="B209" s="1852" t="s">
        <v>16</v>
      </c>
      <c r="C209" s="1852" t="s">
        <v>2330</v>
      </c>
      <c r="D209" s="1852" t="s">
        <v>2331</v>
      </c>
      <c r="E209" s="1852" t="s">
        <v>2332</v>
      </c>
      <c r="F209" s="1852" t="s">
        <v>2333</v>
      </c>
      <c r="G209" s="1852" t="s">
        <v>28</v>
      </c>
      <c r="H209" s="1852" t="s">
        <v>28</v>
      </c>
      <c r="I209" s="1852" t="s">
        <v>861</v>
      </c>
    </row>
    <row customHeight="1" ht="11.25">
      <c r="A210" s="1852" t="s">
        <v>2269</v>
      </c>
      <c r="B210" s="1852" t="s">
        <v>16</v>
      </c>
      <c r="C210" s="1852" t="s">
        <v>2338</v>
      </c>
      <c r="D210" s="1852" t="s">
        <v>2339</v>
      </c>
      <c r="E210" s="1852" t="s">
        <v>2340</v>
      </c>
      <c r="F210" s="1852" t="s">
        <v>583</v>
      </c>
      <c r="G210" s="1852" t="s">
        <v>2341</v>
      </c>
      <c r="H210" s="1852" t="s">
        <v>28</v>
      </c>
      <c r="I210" s="1852" t="s">
        <v>861</v>
      </c>
    </row>
    <row customHeight="1" ht="11.25">
      <c r="A211" s="1852" t="s">
        <v>2269</v>
      </c>
      <c r="B211" s="1852" t="s">
        <v>16</v>
      </c>
      <c r="C211" s="1852" t="s">
        <v>2855</v>
      </c>
      <c r="D211" s="1852" t="s">
        <v>2856</v>
      </c>
      <c r="E211" s="1852" t="s">
        <v>2857</v>
      </c>
      <c r="F211" s="1852" t="s">
        <v>583</v>
      </c>
      <c r="G211" s="1852" t="s">
        <v>28</v>
      </c>
      <c r="H211" s="1852" t="s">
        <v>28</v>
      </c>
      <c r="I211" s="1852" t="s">
        <v>861</v>
      </c>
    </row>
    <row customHeight="1" ht="11.25">
      <c r="A212" s="1852" t="s">
        <v>2269</v>
      </c>
      <c r="B212" s="1852" t="s">
        <v>16</v>
      </c>
      <c r="C212" s="1852" t="s">
        <v>2342</v>
      </c>
      <c r="D212" s="1852" t="s">
        <v>2343</v>
      </c>
      <c r="E212" s="1852" t="s">
        <v>2344</v>
      </c>
      <c r="F212" s="1852" t="s">
        <v>583</v>
      </c>
      <c r="G212" s="1852" t="s">
        <v>2345</v>
      </c>
      <c r="H212" s="1852" t="s">
        <v>2346</v>
      </c>
      <c r="I212" s="1852" t="s">
        <v>861</v>
      </c>
    </row>
    <row customHeight="1" ht="11.25">
      <c r="A213" s="1852" t="s">
        <v>2269</v>
      </c>
      <c r="B213" s="1852" t="s">
        <v>16</v>
      </c>
      <c r="C213" s="1852" t="s">
        <v>2347</v>
      </c>
      <c r="D213" s="1852" t="s">
        <v>2348</v>
      </c>
      <c r="E213" s="1852" t="s">
        <v>2349</v>
      </c>
      <c r="F213" s="1852" t="s">
        <v>583</v>
      </c>
      <c r="G213" s="1852" t="s">
        <v>2350</v>
      </c>
      <c r="H213" s="1852" t="s">
        <v>28</v>
      </c>
      <c r="I213" s="1852" t="s">
        <v>861</v>
      </c>
    </row>
    <row customHeight="1" ht="11.25">
      <c r="A214" s="1852" t="s">
        <v>2269</v>
      </c>
      <c r="B214" s="1852" t="s">
        <v>16</v>
      </c>
      <c r="C214" s="1852" t="s">
        <v>2858</v>
      </c>
      <c r="D214" s="1852" t="s">
        <v>2859</v>
      </c>
      <c r="E214" s="1852" t="s">
        <v>2860</v>
      </c>
      <c r="F214" s="1852" t="s">
        <v>583</v>
      </c>
      <c r="G214" s="1852" t="s">
        <v>28</v>
      </c>
      <c r="H214" s="1852" t="s">
        <v>2346</v>
      </c>
      <c r="I214" s="1852" t="s">
        <v>861</v>
      </c>
    </row>
    <row customHeight="1" ht="11.25">
      <c r="A215" s="1852" t="s">
        <v>2269</v>
      </c>
      <c r="B215" s="1852" t="s">
        <v>16</v>
      </c>
      <c r="C215" s="1852" t="s">
        <v>2861</v>
      </c>
      <c r="D215" s="1852" t="s">
        <v>2862</v>
      </c>
      <c r="E215" s="1852" t="s">
        <v>2863</v>
      </c>
      <c r="F215" s="1852" t="s">
        <v>2282</v>
      </c>
      <c r="G215" s="1852" t="s">
        <v>28</v>
      </c>
      <c r="H215" s="1852" t="s">
        <v>28</v>
      </c>
      <c r="I215" s="1852" t="s">
        <v>861</v>
      </c>
    </row>
    <row customHeight="1" ht="11.25">
      <c r="A216" s="1852" t="s">
        <v>2269</v>
      </c>
      <c r="B216" s="1852" t="s">
        <v>16</v>
      </c>
      <c r="C216" s="1852" t="s">
        <v>2355</v>
      </c>
      <c r="D216" s="1852" t="s">
        <v>2356</v>
      </c>
      <c r="E216" s="1852" t="s">
        <v>2357</v>
      </c>
      <c r="F216" s="1852" t="s">
        <v>2297</v>
      </c>
      <c r="G216" s="1852" t="s">
        <v>2358</v>
      </c>
      <c r="H216" s="1852" t="s">
        <v>28</v>
      </c>
      <c r="I216" s="1852" t="s">
        <v>861</v>
      </c>
    </row>
    <row customHeight="1" ht="11.25">
      <c r="A217" s="1852" t="s">
        <v>2269</v>
      </c>
      <c r="B217" s="1852" t="s">
        <v>16</v>
      </c>
      <c r="C217" s="1852" t="s">
        <v>2359</v>
      </c>
      <c r="D217" s="1852" t="s">
        <v>2360</v>
      </c>
      <c r="E217" s="1852" t="s">
        <v>2361</v>
      </c>
      <c r="F217" s="1852" t="s">
        <v>2297</v>
      </c>
      <c r="G217" s="1852" t="s">
        <v>28</v>
      </c>
      <c r="H217" s="1852" t="s">
        <v>28</v>
      </c>
      <c r="I217" s="1852" t="s">
        <v>861</v>
      </c>
    </row>
    <row customHeight="1" ht="11.25">
      <c r="A218" s="1852" t="s">
        <v>2269</v>
      </c>
      <c r="B218" s="1852" t="s">
        <v>16</v>
      </c>
      <c r="C218" s="1852" t="s">
        <v>2362</v>
      </c>
      <c r="D218" s="1852" t="s">
        <v>2363</v>
      </c>
      <c r="E218" s="1852" t="s">
        <v>2364</v>
      </c>
      <c r="F218" s="1852" t="s">
        <v>2311</v>
      </c>
      <c r="G218" s="1852" t="s">
        <v>28</v>
      </c>
      <c r="H218" s="1852" t="s">
        <v>28</v>
      </c>
      <c r="I218" s="1852" t="s">
        <v>861</v>
      </c>
    </row>
    <row customHeight="1" ht="11.25">
      <c r="A219" s="1852" t="s">
        <v>2269</v>
      </c>
      <c r="B219" s="1852" t="s">
        <v>16</v>
      </c>
      <c r="C219" s="1852" t="s">
        <v>2864</v>
      </c>
      <c r="D219" s="1852" t="s">
        <v>2865</v>
      </c>
      <c r="E219" s="1852" t="s">
        <v>2866</v>
      </c>
      <c r="F219" s="1852" t="s">
        <v>2723</v>
      </c>
      <c r="G219" s="1852" t="s">
        <v>28</v>
      </c>
      <c r="H219" s="1852" t="s">
        <v>28</v>
      </c>
      <c r="I219" s="1852" t="s">
        <v>861</v>
      </c>
    </row>
    <row customHeight="1" ht="11.25">
      <c r="A220" s="1852" t="s">
        <v>2269</v>
      </c>
      <c r="B220" s="1852" t="s">
        <v>16</v>
      </c>
      <c r="C220" s="1852" t="s">
        <v>2867</v>
      </c>
      <c r="D220" s="1852" t="s">
        <v>2868</v>
      </c>
      <c r="E220" s="1852" t="s">
        <v>2869</v>
      </c>
      <c r="F220" s="1852" t="s">
        <v>2372</v>
      </c>
      <c r="G220" s="1852" t="s">
        <v>2870</v>
      </c>
      <c r="H220" s="1852" t="s">
        <v>28</v>
      </c>
      <c r="I220" s="1852" t="s">
        <v>861</v>
      </c>
    </row>
    <row customHeight="1" ht="11.25">
      <c r="A221" s="1852" t="s">
        <v>2269</v>
      </c>
      <c r="B221" s="1852" t="s">
        <v>16</v>
      </c>
      <c r="C221" s="1852" t="s">
        <v>2369</v>
      </c>
      <c r="D221" s="1852" t="s">
        <v>2370</v>
      </c>
      <c r="E221" s="1852" t="s">
        <v>2371</v>
      </c>
      <c r="F221" s="1852" t="s">
        <v>2372</v>
      </c>
      <c r="G221" s="1852" t="s">
        <v>2373</v>
      </c>
      <c r="H221" s="1852" t="s">
        <v>28</v>
      </c>
      <c r="I221" s="1852" t="s">
        <v>861</v>
      </c>
    </row>
    <row customHeight="1" ht="11.25">
      <c r="A222" s="1852" t="s">
        <v>2269</v>
      </c>
      <c r="B222" s="1852" t="s">
        <v>16</v>
      </c>
      <c r="C222" s="1852" t="s">
        <v>2871</v>
      </c>
      <c r="D222" s="1852" t="s">
        <v>2872</v>
      </c>
      <c r="E222" s="1852" t="s">
        <v>2873</v>
      </c>
      <c r="F222" s="1852" t="s">
        <v>2372</v>
      </c>
      <c r="G222" s="1852" t="s">
        <v>2874</v>
      </c>
      <c r="H222" s="1852" t="s">
        <v>28</v>
      </c>
      <c r="I222" s="1852" t="s">
        <v>861</v>
      </c>
    </row>
    <row customHeight="1" ht="11.25">
      <c r="A223" s="1852" t="s">
        <v>2269</v>
      </c>
      <c r="B223" s="1852" t="s">
        <v>16</v>
      </c>
      <c r="C223" s="1852" t="s">
        <v>2875</v>
      </c>
      <c r="D223" s="1852" t="s">
        <v>2876</v>
      </c>
      <c r="E223" s="1852" t="s">
        <v>2877</v>
      </c>
      <c r="F223" s="1852" t="s">
        <v>2386</v>
      </c>
      <c r="G223" s="1852" t="s">
        <v>2878</v>
      </c>
      <c r="H223" s="1852" t="s">
        <v>28</v>
      </c>
      <c r="I223" s="1852" t="s">
        <v>861</v>
      </c>
    </row>
    <row customHeight="1" ht="11.25">
      <c r="A224" s="1852" t="s">
        <v>2269</v>
      </c>
      <c r="B224" s="1852" t="s">
        <v>16</v>
      </c>
      <c r="C224" s="1852" t="s">
        <v>2378</v>
      </c>
      <c r="D224" s="1852" t="s">
        <v>2379</v>
      </c>
      <c r="E224" s="1852" t="s">
        <v>2380</v>
      </c>
      <c r="F224" s="1852" t="s">
        <v>2381</v>
      </c>
      <c r="G224" s="1852" t="s">
        <v>2382</v>
      </c>
      <c r="H224" s="1852" t="s">
        <v>28</v>
      </c>
      <c r="I224" s="1852" t="s">
        <v>861</v>
      </c>
    </row>
    <row customHeight="1" ht="11.25">
      <c r="A225" s="1852" t="s">
        <v>2269</v>
      </c>
      <c r="B225" s="1852" t="s">
        <v>16</v>
      </c>
      <c r="C225" s="1852" t="s">
        <v>2383</v>
      </c>
      <c r="D225" s="1852" t="s">
        <v>2384</v>
      </c>
      <c r="E225" s="1852" t="s">
        <v>2385</v>
      </c>
      <c r="F225" s="1852" t="s">
        <v>2386</v>
      </c>
      <c r="G225" s="1852" t="s">
        <v>2387</v>
      </c>
      <c r="H225" s="1852" t="s">
        <v>28</v>
      </c>
      <c r="I225" s="1852" t="s">
        <v>861</v>
      </c>
    </row>
    <row customHeight="1" ht="11.25">
      <c r="A226" s="1852" t="s">
        <v>2269</v>
      </c>
      <c r="B226" s="1852" t="s">
        <v>16</v>
      </c>
      <c r="C226" s="1852" t="s">
        <v>2409</v>
      </c>
      <c r="D226" s="1852" t="s">
        <v>2410</v>
      </c>
      <c r="E226" s="1852" t="s">
        <v>2411</v>
      </c>
      <c r="F226" s="1852" t="s">
        <v>2278</v>
      </c>
      <c r="G226" s="1852" t="s">
        <v>2412</v>
      </c>
      <c r="H226" s="1852" t="s">
        <v>28</v>
      </c>
      <c r="I226" s="1852" t="s">
        <v>861</v>
      </c>
    </row>
    <row customHeight="1" ht="11.25">
      <c r="A227" s="1852" t="s">
        <v>2269</v>
      </c>
      <c r="B227" s="1852" t="s">
        <v>16</v>
      </c>
      <c r="C227" s="1852" t="s">
        <v>2413</v>
      </c>
      <c r="D227" s="1852" t="s">
        <v>2414</v>
      </c>
      <c r="E227" s="1852" t="s">
        <v>2415</v>
      </c>
      <c r="F227" s="1852" t="s">
        <v>2416</v>
      </c>
      <c r="G227" s="1852" t="s">
        <v>2417</v>
      </c>
      <c r="H227" s="1852" t="s">
        <v>28</v>
      </c>
      <c r="I227" s="1852" t="s">
        <v>861</v>
      </c>
    </row>
    <row customHeight="1" ht="11.25">
      <c r="A228" s="1852" t="s">
        <v>2269</v>
      </c>
      <c r="B228" s="1852" t="s">
        <v>16</v>
      </c>
      <c r="C228" s="1852" t="s">
        <v>2879</v>
      </c>
      <c r="D228" s="1852" t="s">
        <v>2880</v>
      </c>
      <c r="E228" s="1852" t="s">
        <v>2881</v>
      </c>
      <c r="F228" s="1852" t="s">
        <v>2558</v>
      </c>
      <c r="G228" s="1852" t="s">
        <v>2882</v>
      </c>
      <c r="H228" s="1852" t="s">
        <v>28</v>
      </c>
      <c r="I228" s="1852" t="s">
        <v>861</v>
      </c>
    </row>
    <row customHeight="1" ht="11.25">
      <c r="A229" s="1852" t="s">
        <v>2269</v>
      </c>
      <c r="B229" s="1852" t="s">
        <v>16</v>
      </c>
      <c r="C229" s="1852" t="s">
        <v>2418</v>
      </c>
      <c r="D229" s="1852" t="s">
        <v>2419</v>
      </c>
      <c r="E229" s="1852" t="s">
        <v>2420</v>
      </c>
      <c r="F229" s="1852" t="s">
        <v>2421</v>
      </c>
      <c r="G229" s="1852" t="s">
        <v>2422</v>
      </c>
      <c r="H229" s="1852" t="s">
        <v>28</v>
      </c>
      <c r="I229" s="1852" t="s">
        <v>861</v>
      </c>
    </row>
    <row customHeight="1" ht="11.25">
      <c r="A230" s="1852" t="s">
        <v>2269</v>
      </c>
      <c r="B230" s="1852" t="s">
        <v>16</v>
      </c>
      <c r="C230" s="1852" t="s">
        <v>2423</v>
      </c>
      <c r="D230" s="1852" t="s">
        <v>2424</v>
      </c>
      <c r="E230" s="1852" t="s">
        <v>2425</v>
      </c>
      <c r="F230" s="1852" t="s">
        <v>2354</v>
      </c>
      <c r="G230" s="1852" t="s">
        <v>2426</v>
      </c>
      <c r="H230" s="1852" t="s">
        <v>28</v>
      </c>
      <c r="I230" s="1852" t="s">
        <v>861</v>
      </c>
    </row>
    <row customHeight="1" ht="11.25">
      <c r="A231" s="1852" t="s">
        <v>2269</v>
      </c>
      <c r="B231" s="1852" t="s">
        <v>16</v>
      </c>
      <c r="C231" s="1852" t="s">
        <v>2433</v>
      </c>
      <c r="D231" s="1852" t="s">
        <v>2434</v>
      </c>
      <c r="E231" s="1852" t="s">
        <v>2435</v>
      </c>
      <c r="F231" s="1852" t="s">
        <v>2436</v>
      </c>
      <c r="G231" s="1852" t="s">
        <v>2437</v>
      </c>
      <c r="H231" s="1852" t="s">
        <v>28</v>
      </c>
      <c r="I231" s="1852" t="s">
        <v>861</v>
      </c>
    </row>
    <row customHeight="1" ht="11.25">
      <c r="A232" s="1852" t="s">
        <v>2269</v>
      </c>
      <c r="B232" s="1852" t="s">
        <v>16</v>
      </c>
      <c r="C232" s="1852" t="s">
        <v>2883</v>
      </c>
      <c r="D232" s="1852" t="s">
        <v>2884</v>
      </c>
      <c r="E232" s="1852" t="s">
        <v>2885</v>
      </c>
      <c r="F232" s="1852" t="s">
        <v>2372</v>
      </c>
      <c r="G232" s="1852" t="s">
        <v>2886</v>
      </c>
      <c r="H232" s="1852" t="s">
        <v>28</v>
      </c>
      <c r="I232" s="1852" t="s">
        <v>861</v>
      </c>
    </row>
    <row customHeight="1" ht="11.25">
      <c r="A233" s="1852" t="s">
        <v>2269</v>
      </c>
      <c r="B233" s="1852" t="s">
        <v>16</v>
      </c>
      <c r="C233" s="1852" t="s">
        <v>2458</v>
      </c>
      <c r="D233" s="1852" t="s">
        <v>2459</v>
      </c>
      <c r="E233" s="1852" t="s">
        <v>2460</v>
      </c>
      <c r="F233" s="1852" t="s">
        <v>2461</v>
      </c>
      <c r="G233" s="1852" t="s">
        <v>2462</v>
      </c>
      <c r="H233" s="1852" t="s">
        <v>28</v>
      </c>
      <c r="I233" s="1852" t="s">
        <v>861</v>
      </c>
    </row>
    <row customHeight="1" ht="11.25">
      <c r="A234" s="1852" t="s">
        <v>2269</v>
      </c>
      <c r="B234" s="1852" t="s">
        <v>16</v>
      </c>
      <c r="C234" s="1852" t="s">
        <v>2476</v>
      </c>
      <c r="D234" s="1852" t="s">
        <v>2477</v>
      </c>
      <c r="E234" s="1852" t="s">
        <v>2478</v>
      </c>
      <c r="F234" s="1852" t="s">
        <v>2282</v>
      </c>
      <c r="G234" s="1852" t="s">
        <v>28</v>
      </c>
      <c r="H234" s="1852" t="s">
        <v>28</v>
      </c>
      <c r="I234" s="1852" t="s">
        <v>861</v>
      </c>
    </row>
    <row customHeight="1" ht="11.25">
      <c r="A235" s="1852" t="s">
        <v>2269</v>
      </c>
      <c r="B235" s="1852" t="s">
        <v>16</v>
      </c>
      <c r="C235" s="1852" t="s">
        <v>2479</v>
      </c>
      <c r="D235" s="1852" t="s">
        <v>2480</v>
      </c>
      <c r="E235" s="1852" t="s">
        <v>2481</v>
      </c>
      <c r="F235" s="1852" t="s">
        <v>2482</v>
      </c>
      <c r="G235" s="1852" t="s">
        <v>28</v>
      </c>
      <c r="H235" s="1852" t="s">
        <v>28</v>
      </c>
      <c r="I235" s="1852" t="s">
        <v>861</v>
      </c>
    </row>
    <row customHeight="1" ht="11.25">
      <c r="A236" s="1852" t="s">
        <v>2269</v>
      </c>
      <c r="B236" s="1852" t="s">
        <v>16</v>
      </c>
      <c r="C236" s="1852" t="s">
        <v>2483</v>
      </c>
      <c r="D236" s="1852" t="s">
        <v>2484</v>
      </c>
      <c r="E236" s="1852" t="s">
        <v>2485</v>
      </c>
      <c r="F236" s="1852" t="s">
        <v>2297</v>
      </c>
      <c r="G236" s="1852" t="s">
        <v>28</v>
      </c>
      <c r="H236" s="1852" t="s">
        <v>28</v>
      </c>
      <c r="I236" s="1852" t="s">
        <v>861</v>
      </c>
    </row>
    <row customHeight="1" ht="11.25">
      <c r="A237" s="1852" t="s">
        <v>2269</v>
      </c>
      <c r="B237" s="1852" t="s">
        <v>16</v>
      </c>
      <c r="C237" s="1852" t="s">
        <v>2486</v>
      </c>
      <c r="D237" s="1852" t="s">
        <v>2487</v>
      </c>
      <c r="E237" s="1852" t="s">
        <v>2488</v>
      </c>
      <c r="F237" s="1852" t="s">
        <v>2482</v>
      </c>
      <c r="G237" s="1852" t="s">
        <v>28</v>
      </c>
      <c r="H237" s="1852" t="s">
        <v>28</v>
      </c>
      <c r="I237" s="1852" t="s">
        <v>861</v>
      </c>
    </row>
    <row customHeight="1" ht="11.25">
      <c r="A238" s="1852" t="s">
        <v>2269</v>
      </c>
      <c r="B238" s="1852" t="s">
        <v>16</v>
      </c>
      <c r="C238" s="1852" t="s">
        <v>2887</v>
      </c>
      <c r="D238" s="1852" t="s">
        <v>2888</v>
      </c>
      <c r="E238" s="1852" t="s">
        <v>2889</v>
      </c>
      <c r="F238" s="1852" t="s">
        <v>2282</v>
      </c>
      <c r="G238" s="1852" t="s">
        <v>2890</v>
      </c>
      <c r="H238" s="1852" t="s">
        <v>2891</v>
      </c>
      <c r="I238" s="1852" t="s">
        <v>861</v>
      </c>
    </row>
    <row customHeight="1" ht="11.25">
      <c r="A239" s="1852" t="s">
        <v>2269</v>
      </c>
      <c r="B239" s="1852" t="s">
        <v>16</v>
      </c>
      <c r="C239" s="1852" t="s">
        <v>2892</v>
      </c>
      <c r="D239" s="1852" t="s">
        <v>2893</v>
      </c>
      <c r="E239" s="1852" t="s">
        <v>2894</v>
      </c>
      <c r="F239" s="1852" t="s">
        <v>2399</v>
      </c>
      <c r="G239" s="1852" t="s">
        <v>28</v>
      </c>
      <c r="H239" s="1852" t="s">
        <v>28</v>
      </c>
      <c r="I239" s="1852" t="s">
        <v>861</v>
      </c>
    </row>
    <row customHeight="1" ht="11.25">
      <c r="A240" s="1852" t="s">
        <v>2269</v>
      </c>
      <c r="B240" s="1852" t="s">
        <v>16</v>
      </c>
      <c r="C240" s="1852" t="s">
        <v>2895</v>
      </c>
      <c r="D240" s="1852" t="s">
        <v>2896</v>
      </c>
      <c r="E240" s="1852" t="s">
        <v>2897</v>
      </c>
      <c r="F240" s="1852" t="s">
        <v>2529</v>
      </c>
      <c r="G240" s="1852" t="s">
        <v>28</v>
      </c>
      <c r="H240" s="1852" t="s">
        <v>28</v>
      </c>
      <c r="I240" s="1852" t="s">
        <v>861</v>
      </c>
    </row>
    <row customHeight="1" ht="11.25">
      <c r="A241" s="1852" t="s">
        <v>2269</v>
      </c>
      <c r="B241" s="1852" t="s">
        <v>16</v>
      </c>
      <c r="C241" s="1852" t="s">
        <v>2494</v>
      </c>
      <c r="D241" s="1852" t="s">
        <v>2495</v>
      </c>
      <c r="E241" s="1852" t="s">
        <v>2496</v>
      </c>
      <c r="F241" s="1852" t="s">
        <v>2497</v>
      </c>
      <c r="G241" s="1852" t="s">
        <v>28</v>
      </c>
      <c r="H241" s="1852" t="s">
        <v>28</v>
      </c>
      <c r="I241" s="1852" t="s">
        <v>861</v>
      </c>
    </row>
    <row customHeight="1" ht="11.25">
      <c r="A242" s="1852" t="s">
        <v>2269</v>
      </c>
      <c r="B242" s="1852" t="s">
        <v>16</v>
      </c>
      <c r="C242" s="1852" t="s">
        <v>2498</v>
      </c>
      <c r="D242" s="1852" t="s">
        <v>2499</v>
      </c>
      <c r="E242" s="1852" t="s">
        <v>2500</v>
      </c>
      <c r="F242" s="1852" t="s">
        <v>2287</v>
      </c>
      <c r="G242" s="1852" t="s">
        <v>2501</v>
      </c>
      <c r="H242" s="1852" t="s">
        <v>28</v>
      </c>
      <c r="I242" s="1852" t="s">
        <v>861</v>
      </c>
    </row>
    <row customHeight="1" ht="11.25">
      <c r="A243" s="1852" t="s">
        <v>2269</v>
      </c>
      <c r="B243" s="1852" t="s">
        <v>16</v>
      </c>
      <c r="C243" s="1852" t="s">
        <v>2502</v>
      </c>
      <c r="D243" s="1852" t="s">
        <v>2503</v>
      </c>
      <c r="E243" s="1852" t="s">
        <v>2504</v>
      </c>
      <c r="F243" s="1852" t="s">
        <v>2416</v>
      </c>
      <c r="G243" s="1852" t="s">
        <v>28</v>
      </c>
      <c r="H243" s="1852" t="s">
        <v>28</v>
      </c>
      <c r="I243" s="1852" t="s">
        <v>861</v>
      </c>
    </row>
    <row customHeight="1" ht="11.25">
      <c r="A244" s="1852" t="s">
        <v>2269</v>
      </c>
      <c r="B244" s="1852" t="s">
        <v>16</v>
      </c>
      <c r="C244" s="1852" t="s">
        <v>2505</v>
      </c>
      <c r="D244" s="1852" t="s">
        <v>2506</v>
      </c>
      <c r="E244" s="1852" t="s">
        <v>2507</v>
      </c>
      <c r="F244" s="1852" t="s">
        <v>2399</v>
      </c>
      <c r="G244" s="1852" t="s">
        <v>2508</v>
      </c>
      <c r="H244" s="1852" t="s">
        <v>28</v>
      </c>
      <c r="I244" s="1852" t="s">
        <v>861</v>
      </c>
    </row>
    <row customHeight="1" ht="11.25">
      <c r="A245" s="1852" t="s">
        <v>2269</v>
      </c>
      <c r="B245" s="1852" t="s">
        <v>16</v>
      </c>
      <c r="C245" s="1852" t="s">
        <v>2898</v>
      </c>
      <c r="D245" s="1852" t="s">
        <v>2899</v>
      </c>
      <c r="E245" s="1852" t="s">
        <v>2900</v>
      </c>
      <c r="F245" s="1852" t="s">
        <v>2482</v>
      </c>
      <c r="G245" s="1852" t="s">
        <v>2901</v>
      </c>
      <c r="H245" s="1852" t="s">
        <v>28</v>
      </c>
      <c r="I245" s="1852" t="s">
        <v>861</v>
      </c>
    </row>
    <row customHeight="1" ht="11.25">
      <c r="A246" s="1852" t="s">
        <v>2269</v>
      </c>
      <c r="B246" s="1852" t="s">
        <v>16</v>
      </c>
      <c r="C246" s="1852" t="s">
        <v>2509</v>
      </c>
      <c r="D246" s="1852" t="s">
        <v>2510</v>
      </c>
      <c r="E246" s="1852" t="s">
        <v>2511</v>
      </c>
      <c r="F246" s="1852" t="s">
        <v>2287</v>
      </c>
      <c r="G246" s="1852" t="s">
        <v>28</v>
      </c>
      <c r="H246" s="1852" t="s">
        <v>28</v>
      </c>
      <c r="I246" s="1852" t="s">
        <v>861</v>
      </c>
    </row>
    <row customHeight="1" ht="11.25">
      <c r="A247" s="1852" t="s">
        <v>2269</v>
      </c>
      <c r="B247" s="1852" t="s">
        <v>16</v>
      </c>
      <c r="C247" s="1852" t="s">
        <v>2512</v>
      </c>
      <c r="D247" s="1852" t="s">
        <v>2513</v>
      </c>
      <c r="E247" s="1852" t="s">
        <v>2514</v>
      </c>
      <c r="F247" s="1852" t="s">
        <v>2515</v>
      </c>
      <c r="G247" s="1852" t="s">
        <v>2516</v>
      </c>
      <c r="H247" s="1852" t="s">
        <v>28</v>
      </c>
      <c r="I247" s="1852" t="s">
        <v>861</v>
      </c>
    </row>
    <row customHeight="1" ht="11.25">
      <c r="A248" s="1852" t="s">
        <v>2269</v>
      </c>
      <c r="B248" s="1852" t="s">
        <v>16</v>
      </c>
      <c r="C248" s="1852" t="s">
        <v>2517</v>
      </c>
      <c r="D248" s="1852" t="s">
        <v>2518</v>
      </c>
      <c r="E248" s="1852" t="s">
        <v>2519</v>
      </c>
      <c r="F248" s="1852" t="s">
        <v>2520</v>
      </c>
      <c r="G248" s="1852" t="s">
        <v>28</v>
      </c>
      <c r="H248" s="1852" t="s">
        <v>28</v>
      </c>
      <c r="I248" s="1852" t="s">
        <v>861</v>
      </c>
    </row>
    <row customHeight="1" ht="11.25">
      <c r="A249" s="1852" t="s">
        <v>2269</v>
      </c>
      <c r="B249" s="1852" t="s">
        <v>16</v>
      </c>
      <c r="C249" s="1852" t="s">
        <v>2521</v>
      </c>
      <c r="D249" s="1852" t="s">
        <v>2522</v>
      </c>
      <c r="E249" s="1852" t="s">
        <v>2523</v>
      </c>
      <c r="F249" s="1852" t="s">
        <v>2524</v>
      </c>
      <c r="G249" s="1852" t="s">
        <v>2525</v>
      </c>
      <c r="H249" s="1852" t="s">
        <v>28</v>
      </c>
      <c r="I249" s="1852" t="s">
        <v>861</v>
      </c>
    </row>
    <row customHeight="1" ht="11.25">
      <c r="A250" s="1852" t="s">
        <v>2269</v>
      </c>
      <c r="B250" s="1852" t="s">
        <v>16</v>
      </c>
      <c r="C250" s="1852" t="s">
        <v>2902</v>
      </c>
      <c r="D250" s="1852" t="s">
        <v>2903</v>
      </c>
      <c r="E250" s="1852" t="s">
        <v>2904</v>
      </c>
      <c r="F250" s="1852" t="s">
        <v>2282</v>
      </c>
      <c r="G250" s="1852" t="s">
        <v>2905</v>
      </c>
      <c r="H250" s="1852" t="s">
        <v>2906</v>
      </c>
      <c r="I250" s="1852" t="s">
        <v>861</v>
      </c>
    </row>
    <row customHeight="1" ht="11.25">
      <c r="A251" s="1852" t="s">
        <v>2269</v>
      </c>
      <c r="B251" s="1852" t="s">
        <v>16</v>
      </c>
      <c r="C251" s="1852" t="s">
        <v>2526</v>
      </c>
      <c r="D251" s="1852" t="s">
        <v>2527</v>
      </c>
      <c r="E251" s="1852" t="s">
        <v>2528</v>
      </c>
      <c r="F251" s="1852" t="s">
        <v>2529</v>
      </c>
      <c r="G251" s="1852" t="s">
        <v>2530</v>
      </c>
      <c r="H251" s="1852" t="s">
        <v>28</v>
      </c>
      <c r="I251" s="1852" t="s">
        <v>861</v>
      </c>
    </row>
    <row customHeight="1" ht="11.25">
      <c r="A252" s="1852" t="s">
        <v>2269</v>
      </c>
      <c r="B252" s="1852" t="s">
        <v>16</v>
      </c>
      <c r="C252" s="1852" t="s">
        <v>2531</v>
      </c>
      <c r="D252" s="1852" t="s">
        <v>2532</v>
      </c>
      <c r="E252" s="1852" t="s">
        <v>2533</v>
      </c>
      <c r="F252" s="1852" t="s">
        <v>2368</v>
      </c>
      <c r="G252" s="1852" t="s">
        <v>28</v>
      </c>
      <c r="H252" s="1852" t="s">
        <v>2534</v>
      </c>
      <c r="I252" s="1852" t="s">
        <v>861</v>
      </c>
    </row>
    <row customHeight="1" ht="11.25">
      <c r="A253" s="1852" t="s">
        <v>2269</v>
      </c>
      <c r="B253" s="1852" t="s">
        <v>16</v>
      </c>
      <c r="C253" s="1852" t="s">
        <v>2535</v>
      </c>
      <c r="D253" s="1852" t="s">
        <v>2536</v>
      </c>
      <c r="E253" s="1852" t="s">
        <v>2537</v>
      </c>
      <c r="F253" s="1852" t="s">
        <v>2292</v>
      </c>
      <c r="G253" s="1852" t="s">
        <v>2538</v>
      </c>
      <c r="H253" s="1852" t="s">
        <v>28</v>
      </c>
      <c r="I253" s="1852" t="s">
        <v>861</v>
      </c>
    </row>
    <row customHeight="1" ht="11.25">
      <c r="A254" s="1852" t="s">
        <v>2269</v>
      </c>
      <c r="B254" s="1852" t="s">
        <v>16</v>
      </c>
      <c r="C254" s="1852" t="s">
        <v>2539</v>
      </c>
      <c r="D254" s="1852" t="s">
        <v>2540</v>
      </c>
      <c r="E254" s="1852" t="s">
        <v>2541</v>
      </c>
      <c r="F254" s="1852" t="s">
        <v>2542</v>
      </c>
      <c r="G254" s="1852" t="s">
        <v>2543</v>
      </c>
      <c r="H254" s="1852" t="s">
        <v>28</v>
      </c>
      <c r="I254" s="1852" t="s">
        <v>861</v>
      </c>
    </row>
    <row customHeight="1" ht="11.25">
      <c r="A255" s="1852" t="s">
        <v>2269</v>
      </c>
      <c r="B255" s="1852" t="s">
        <v>16</v>
      </c>
      <c r="C255" s="1852" t="s">
        <v>2544</v>
      </c>
      <c r="D255" s="1852" t="s">
        <v>2545</v>
      </c>
      <c r="E255" s="1852" t="s">
        <v>2546</v>
      </c>
      <c r="F255" s="1852" t="s">
        <v>2372</v>
      </c>
      <c r="G255" s="1852" t="s">
        <v>2547</v>
      </c>
      <c r="H255" s="1852" t="s">
        <v>28</v>
      </c>
      <c r="I255" s="1852" t="s">
        <v>861</v>
      </c>
    </row>
    <row customHeight="1" ht="11.25">
      <c r="A256" s="1852" t="s">
        <v>2269</v>
      </c>
      <c r="B256" s="1852" t="s">
        <v>16</v>
      </c>
      <c r="C256" s="1852" t="s">
        <v>2907</v>
      </c>
      <c r="D256" s="1852" t="s">
        <v>2908</v>
      </c>
      <c r="E256" s="1852" t="s">
        <v>2909</v>
      </c>
      <c r="F256" s="1852" t="s">
        <v>2408</v>
      </c>
      <c r="G256" s="1852" t="s">
        <v>28</v>
      </c>
      <c r="H256" s="1852" t="s">
        <v>28</v>
      </c>
      <c r="I256" s="1852" t="s">
        <v>861</v>
      </c>
    </row>
    <row customHeight="1" ht="11.25">
      <c r="A257" s="1852" t="s">
        <v>2269</v>
      </c>
      <c r="B257" s="1852" t="s">
        <v>16</v>
      </c>
      <c r="C257" s="1852" t="s">
        <v>2910</v>
      </c>
      <c r="D257" s="1852" t="s">
        <v>2911</v>
      </c>
      <c r="E257" s="1852" t="s">
        <v>2912</v>
      </c>
      <c r="F257" s="1852" t="s">
        <v>2311</v>
      </c>
      <c r="G257" s="1852" t="s">
        <v>2913</v>
      </c>
      <c r="H257" s="1852" t="s">
        <v>28</v>
      </c>
      <c r="I257" s="1852" t="s">
        <v>861</v>
      </c>
    </row>
    <row customHeight="1" ht="11.25">
      <c r="A258" s="1852" t="s">
        <v>2269</v>
      </c>
      <c r="B258" s="1852" t="s">
        <v>16</v>
      </c>
      <c r="C258" s="1852" t="s">
        <v>2555</v>
      </c>
      <c r="D258" s="1852" t="s">
        <v>2556</v>
      </c>
      <c r="E258" s="1852" t="s">
        <v>2557</v>
      </c>
      <c r="F258" s="1852" t="s">
        <v>2558</v>
      </c>
      <c r="G258" s="1852" t="s">
        <v>28</v>
      </c>
      <c r="H258" s="1852" t="s">
        <v>28</v>
      </c>
      <c r="I258" s="1852" t="s">
        <v>861</v>
      </c>
    </row>
    <row customHeight="1" ht="11.25">
      <c r="A259" s="1852" t="s">
        <v>2269</v>
      </c>
      <c r="B259" s="1852" t="s">
        <v>16</v>
      </c>
      <c r="C259" s="1852" t="s">
        <v>2914</v>
      </c>
      <c r="D259" s="1852" t="s">
        <v>2915</v>
      </c>
      <c r="E259" s="1852" t="s">
        <v>2916</v>
      </c>
      <c r="F259" s="1852" t="s">
        <v>2515</v>
      </c>
      <c r="G259" s="1852" t="s">
        <v>28</v>
      </c>
      <c r="H259" s="1852" t="s">
        <v>28</v>
      </c>
      <c r="I259" s="1852" t="s">
        <v>861</v>
      </c>
    </row>
    <row customHeight="1" ht="11.25">
      <c r="A260" s="1852" t="s">
        <v>2269</v>
      </c>
      <c r="B260" s="1852" t="s">
        <v>16</v>
      </c>
      <c r="C260" s="1852" t="s">
        <v>2917</v>
      </c>
      <c r="D260" s="1852" t="s">
        <v>2918</v>
      </c>
      <c r="E260" s="1852" t="s">
        <v>2919</v>
      </c>
      <c r="F260" s="1852" t="s">
        <v>2287</v>
      </c>
      <c r="G260" s="1852" t="s">
        <v>28</v>
      </c>
      <c r="H260" s="1852" t="s">
        <v>28</v>
      </c>
      <c r="I260" s="1852" t="s">
        <v>861</v>
      </c>
    </row>
    <row customHeight="1" ht="11.25">
      <c r="A261" s="1852" t="s">
        <v>2269</v>
      </c>
      <c r="B261" s="1852" t="s">
        <v>16</v>
      </c>
      <c r="C261" s="1852" t="s">
        <v>2590</v>
      </c>
      <c r="D261" s="1852" t="s">
        <v>2591</v>
      </c>
      <c r="E261" s="1852" t="s">
        <v>2592</v>
      </c>
      <c r="F261" s="1852" t="s">
        <v>2333</v>
      </c>
      <c r="G261" s="1852" t="s">
        <v>2593</v>
      </c>
      <c r="H261" s="1852" t="s">
        <v>28</v>
      </c>
      <c r="I261" s="1852" t="s">
        <v>861</v>
      </c>
    </row>
    <row customHeight="1" ht="11.25">
      <c r="A262" s="1852" t="s">
        <v>2269</v>
      </c>
      <c r="B262" s="1852" t="s">
        <v>16</v>
      </c>
      <c r="C262" s="1852" t="s">
        <v>2920</v>
      </c>
      <c r="D262" s="1852" t="s">
        <v>2921</v>
      </c>
      <c r="E262" s="1852" t="s">
        <v>2922</v>
      </c>
      <c r="F262" s="1852" t="s">
        <v>2723</v>
      </c>
      <c r="G262" s="1852" t="s">
        <v>2923</v>
      </c>
      <c r="H262" s="1852" t="s">
        <v>28</v>
      </c>
      <c r="I262" s="1852" t="s">
        <v>861</v>
      </c>
    </row>
    <row customHeight="1" ht="11.25">
      <c r="A263" s="1852" t="s">
        <v>2269</v>
      </c>
      <c r="B263" s="1852" t="s">
        <v>16</v>
      </c>
      <c r="C263" s="1852" t="s">
        <v>2594</v>
      </c>
      <c r="D263" s="1852" t="s">
        <v>2595</v>
      </c>
      <c r="E263" s="1852" t="s">
        <v>2596</v>
      </c>
      <c r="F263" s="1852" t="s">
        <v>2282</v>
      </c>
      <c r="G263" s="1852" t="s">
        <v>2597</v>
      </c>
      <c r="H263" s="1852" t="s">
        <v>28</v>
      </c>
      <c r="I263" s="1852" t="s">
        <v>861</v>
      </c>
    </row>
    <row customHeight="1" ht="11.25">
      <c r="A264" s="1852" t="s">
        <v>2269</v>
      </c>
      <c r="B264" s="1852" t="s">
        <v>16</v>
      </c>
      <c r="C264" s="1852" t="s">
        <v>2924</v>
      </c>
      <c r="D264" s="1852" t="s">
        <v>2925</v>
      </c>
      <c r="E264" s="1852" t="s">
        <v>2926</v>
      </c>
      <c r="F264" s="1852" t="s">
        <v>2311</v>
      </c>
      <c r="G264" s="1852" t="s">
        <v>2927</v>
      </c>
      <c r="H264" s="1852" t="s">
        <v>28</v>
      </c>
      <c r="I264" s="1852" t="s">
        <v>861</v>
      </c>
    </row>
    <row customHeight="1" ht="11.25">
      <c r="A265" s="1852" t="s">
        <v>2269</v>
      </c>
      <c r="B265" s="1852" t="s">
        <v>16</v>
      </c>
      <c r="C265" s="1852" t="s">
        <v>2928</v>
      </c>
      <c r="D265" s="1852" t="s">
        <v>2929</v>
      </c>
      <c r="E265" s="1852" t="s">
        <v>2930</v>
      </c>
      <c r="F265" s="1852" t="s">
        <v>2311</v>
      </c>
      <c r="G265" s="1852" t="s">
        <v>28</v>
      </c>
      <c r="H265" s="1852" t="s">
        <v>28</v>
      </c>
      <c r="I265" s="1852" t="s">
        <v>861</v>
      </c>
    </row>
    <row customHeight="1" ht="11.25">
      <c r="A266" s="1852" t="s">
        <v>2269</v>
      </c>
      <c r="B266" s="1852" t="s">
        <v>16</v>
      </c>
      <c r="C266" s="1852" t="s">
        <v>2606</v>
      </c>
      <c r="D266" s="1852" t="s">
        <v>2607</v>
      </c>
      <c r="E266" s="1852" t="s">
        <v>2608</v>
      </c>
      <c r="F266" s="1852" t="s">
        <v>2609</v>
      </c>
      <c r="G266" s="1852" t="s">
        <v>28</v>
      </c>
      <c r="H266" s="1852" t="s">
        <v>28</v>
      </c>
      <c r="I266" s="1852" t="s">
        <v>861</v>
      </c>
    </row>
    <row customHeight="1" ht="11.25">
      <c r="A267" s="1852" t="s">
        <v>2269</v>
      </c>
      <c r="B267" s="1852" t="s">
        <v>16</v>
      </c>
      <c r="C267" s="1852" t="s">
        <v>2931</v>
      </c>
      <c r="D267" s="1852" t="s">
        <v>2932</v>
      </c>
      <c r="E267" s="1852" t="s">
        <v>2933</v>
      </c>
      <c r="F267" s="1852" t="s">
        <v>2723</v>
      </c>
      <c r="G267" s="1852" t="s">
        <v>2934</v>
      </c>
      <c r="H267" s="1852" t="s">
        <v>2935</v>
      </c>
      <c r="I267" s="1852" t="s">
        <v>861</v>
      </c>
    </row>
    <row customHeight="1" ht="11.25">
      <c r="A268" s="1852" t="s">
        <v>2269</v>
      </c>
      <c r="B268" s="1852" t="s">
        <v>16</v>
      </c>
      <c r="C268" s="1852" t="s">
        <v>2610</v>
      </c>
      <c r="D268" s="1852" t="s">
        <v>2611</v>
      </c>
      <c r="E268" s="1852" t="s">
        <v>2612</v>
      </c>
      <c r="F268" s="1852" t="s">
        <v>2368</v>
      </c>
      <c r="G268" s="1852" t="s">
        <v>28</v>
      </c>
      <c r="H268" s="1852" t="s">
        <v>28</v>
      </c>
      <c r="I268" s="1852" t="s">
        <v>861</v>
      </c>
    </row>
    <row customHeight="1" ht="11.25">
      <c r="A269" s="1852" t="s">
        <v>2269</v>
      </c>
      <c r="B269" s="1852" t="s">
        <v>16</v>
      </c>
      <c r="C269" s="1852" t="s">
        <v>2613</v>
      </c>
      <c r="D269" s="1852" t="s">
        <v>2614</v>
      </c>
      <c r="E269" s="1852" t="s">
        <v>2615</v>
      </c>
      <c r="F269" s="1852" t="s">
        <v>2524</v>
      </c>
      <c r="G269" s="1852" t="s">
        <v>2616</v>
      </c>
      <c r="H269" s="1852" t="s">
        <v>28</v>
      </c>
      <c r="I269" s="1852" t="s">
        <v>861</v>
      </c>
    </row>
    <row customHeight="1" ht="11.25">
      <c r="A270" s="1852" t="s">
        <v>2269</v>
      </c>
      <c r="B270" s="1852" t="s">
        <v>16</v>
      </c>
      <c r="C270" s="1852" t="s">
        <v>2936</v>
      </c>
      <c r="D270" s="1852" t="s">
        <v>2937</v>
      </c>
      <c r="E270" s="1852" t="s">
        <v>2938</v>
      </c>
      <c r="F270" s="1852" t="s">
        <v>2404</v>
      </c>
      <c r="G270" s="1852" t="s">
        <v>2939</v>
      </c>
      <c r="H270" s="1852" t="s">
        <v>28</v>
      </c>
      <c r="I270" s="1852" t="s">
        <v>861</v>
      </c>
    </row>
    <row customHeight="1" ht="11.25">
      <c r="A271" s="1852" t="s">
        <v>2269</v>
      </c>
      <c r="B271" s="1852" t="s">
        <v>16</v>
      </c>
      <c r="C271" s="1852" t="s">
        <v>2940</v>
      </c>
      <c r="D271" s="1852" t="s">
        <v>2941</v>
      </c>
      <c r="E271" s="1852" t="s">
        <v>2942</v>
      </c>
      <c r="F271" s="1852" t="s">
        <v>2354</v>
      </c>
      <c r="G271" s="1852" t="s">
        <v>28</v>
      </c>
      <c r="H271" s="1852" t="s">
        <v>28</v>
      </c>
      <c r="I271" s="1852" t="s">
        <v>861</v>
      </c>
    </row>
    <row customHeight="1" ht="11.25">
      <c r="A272" s="1852" t="s">
        <v>2269</v>
      </c>
      <c r="B272" s="1852" t="s">
        <v>16</v>
      </c>
      <c r="C272" s="1852" t="s">
        <v>2617</v>
      </c>
      <c r="D272" s="1852" t="s">
        <v>2618</v>
      </c>
      <c r="E272" s="1852" t="s">
        <v>2619</v>
      </c>
      <c r="F272" s="1852" t="s">
        <v>2520</v>
      </c>
      <c r="G272" s="1852" t="s">
        <v>2620</v>
      </c>
      <c r="H272" s="1852" t="s">
        <v>28</v>
      </c>
      <c r="I272" s="1852" t="s">
        <v>861</v>
      </c>
    </row>
    <row customHeight="1" ht="11.25">
      <c r="A273" s="1852" t="s">
        <v>2269</v>
      </c>
      <c r="B273" s="1852" t="s">
        <v>16</v>
      </c>
      <c r="C273" s="1852" t="s">
        <v>2943</v>
      </c>
      <c r="D273" s="1852" t="s">
        <v>2944</v>
      </c>
      <c r="E273" s="1852" t="s">
        <v>2945</v>
      </c>
      <c r="F273" s="1852" t="s">
        <v>2287</v>
      </c>
      <c r="G273" s="1852" t="s">
        <v>2946</v>
      </c>
      <c r="H273" s="1852" t="s">
        <v>28</v>
      </c>
      <c r="I273" s="1852" t="s">
        <v>861</v>
      </c>
    </row>
    <row customHeight="1" ht="11.25">
      <c r="A274" s="1852" t="s">
        <v>2269</v>
      </c>
      <c r="B274" s="1852" t="s">
        <v>16</v>
      </c>
      <c r="C274" s="1852" t="s">
        <v>2947</v>
      </c>
      <c r="D274" s="1852" t="s">
        <v>2948</v>
      </c>
      <c r="E274" s="1852" t="s">
        <v>2949</v>
      </c>
      <c r="F274" s="1852" t="s">
        <v>2297</v>
      </c>
      <c r="G274" s="1852" t="s">
        <v>2950</v>
      </c>
      <c r="H274" s="1852" t="s">
        <v>28</v>
      </c>
      <c r="I274" s="1852" t="s">
        <v>861</v>
      </c>
    </row>
    <row customHeight="1" ht="11.25">
      <c r="A275" s="1852" t="s">
        <v>2269</v>
      </c>
      <c r="B275" s="1852" t="s">
        <v>16</v>
      </c>
      <c r="C275" s="1852" t="s">
        <v>2951</v>
      </c>
      <c r="D275" s="1852" t="s">
        <v>2952</v>
      </c>
      <c r="E275" s="1852" t="s">
        <v>2953</v>
      </c>
      <c r="F275" s="1852" t="s">
        <v>2311</v>
      </c>
      <c r="G275" s="1852" t="s">
        <v>2954</v>
      </c>
      <c r="H275" s="1852" t="s">
        <v>28</v>
      </c>
      <c r="I275" s="1852" t="s">
        <v>861</v>
      </c>
    </row>
    <row customHeight="1" ht="11.25">
      <c r="A276" s="1852" t="s">
        <v>2269</v>
      </c>
      <c r="B276" s="1852" t="s">
        <v>16</v>
      </c>
      <c r="C276" s="1852" t="s">
        <v>2625</v>
      </c>
      <c r="D276" s="1852" t="s">
        <v>2626</v>
      </c>
      <c r="E276" s="1852" t="s">
        <v>2627</v>
      </c>
      <c r="F276" s="1852" t="s">
        <v>2399</v>
      </c>
      <c r="G276" s="1852" t="s">
        <v>2628</v>
      </c>
      <c r="H276" s="1852" t="s">
        <v>28</v>
      </c>
      <c r="I276" s="1852" t="s">
        <v>861</v>
      </c>
    </row>
    <row customHeight="1" ht="11.25">
      <c r="A277" s="1852" t="s">
        <v>2269</v>
      </c>
      <c r="B277" s="1852" t="s">
        <v>16</v>
      </c>
      <c r="C277" s="1852" t="s">
        <v>2636</v>
      </c>
      <c r="D277" s="1852" t="s">
        <v>2637</v>
      </c>
      <c r="E277" s="1852" t="s">
        <v>2638</v>
      </c>
      <c r="F277" s="1852" t="s">
        <v>2311</v>
      </c>
      <c r="G277" s="1852" t="s">
        <v>2639</v>
      </c>
      <c r="H277" s="1852" t="s">
        <v>28</v>
      </c>
      <c r="I277" s="1852" t="s">
        <v>861</v>
      </c>
    </row>
    <row customHeight="1" ht="11.25">
      <c r="A278" s="1852" t="s">
        <v>2269</v>
      </c>
      <c r="B278" s="1852" t="s">
        <v>16</v>
      </c>
      <c r="C278" s="1852" t="s">
        <v>2640</v>
      </c>
      <c r="D278" s="1852" t="s">
        <v>2641</v>
      </c>
      <c r="E278" s="1852" t="s">
        <v>2642</v>
      </c>
      <c r="F278" s="1852" t="s">
        <v>2421</v>
      </c>
      <c r="G278" s="1852" t="s">
        <v>2643</v>
      </c>
      <c r="H278" s="1852" t="s">
        <v>28</v>
      </c>
      <c r="I278" s="1852" t="s">
        <v>861</v>
      </c>
    </row>
    <row customHeight="1" ht="11.25">
      <c r="A279" s="1852" t="s">
        <v>2269</v>
      </c>
      <c r="B279" s="1852" t="s">
        <v>16</v>
      </c>
      <c r="C279" s="1852" t="s">
        <v>2651</v>
      </c>
      <c r="D279" s="1852" t="s">
        <v>2648</v>
      </c>
      <c r="E279" s="1852" t="s">
        <v>2649</v>
      </c>
      <c r="F279" s="1852" t="s">
        <v>2292</v>
      </c>
      <c r="G279" s="1852" t="s">
        <v>28</v>
      </c>
      <c r="H279" s="1852" t="s">
        <v>28</v>
      </c>
      <c r="I279" s="1852" t="s">
        <v>861</v>
      </c>
    </row>
    <row customHeight="1" ht="11.25">
      <c r="A280" s="1852" t="s">
        <v>2269</v>
      </c>
      <c r="B280" s="1852" t="s">
        <v>16</v>
      </c>
      <c r="C280" s="1852" t="s">
        <v>2955</v>
      </c>
      <c r="D280" s="1852" t="s">
        <v>2956</v>
      </c>
      <c r="E280" s="1852" t="s">
        <v>2957</v>
      </c>
      <c r="F280" s="1852" t="s">
        <v>2311</v>
      </c>
      <c r="G280" s="1852" t="s">
        <v>28</v>
      </c>
      <c r="H280" s="1852" t="s">
        <v>28</v>
      </c>
      <c r="I280" s="1852" t="s">
        <v>861</v>
      </c>
    </row>
    <row customHeight="1" ht="11.25">
      <c r="A281" s="1852" t="s">
        <v>2269</v>
      </c>
      <c r="B281" s="1852" t="s">
        <v>16</v>
      </c>
      <c r="C281" s="1852" t="s">
        <v>2958</v>
      </c>
      <c r="D281" s="1852" t="s">
        <v>2959</v>
      </c>
      <c r="E281" s="1852" t="s">
        <v>2960</v>
      </c>
      <c r="F281" s="1852" t="s">
        <v>2311</v>
      </c>
      <c r="G281" s="1852" t="s">
        <v>2961</v>
      </c>
      <c r="H281" s="1852" t="s">
        <v>28</v>
      </c>
      <c r="I281" s="1852" t="s">
        <v>861</v>
      </c>
    </row>
    <row customHeight="1" ht="11.25">
      <c r="A282" s="1852" t="s">
        <v>2269</v>
      </c>
      <c r="B282" s="1852" t="s">
        <v>16</v>
      </c>
      <c r="C282" s="1852" t="s">
        <v>2747</v>
      </c>
      <c r="D282" s="1852" t="s">
        <v>2748</v>
      </c>
      <c r="E282" s="1852" t="s">
        <v>2749</v>
      </c>
      <c r="F282" s="1852" t="s">
        <v>2333</v>
      </c>
      <c r="G282" s="1852" t="s">
        <v>28</v>
      </c>
      <c r="H282" s="1852" t="s">
        <v>28</v>
      </c>
      <c r="I282" s="1852" t="s">
        <v>861</v>
      </c>
    </row>
    <row customHeight="1" ht="11.25">
      <c r="A283" s="1852" t="s">
        <v>2269</v>
      </c>
      <c r="B283" s="1852" t="s">
        <v>16</v>
      </c>
      <c r="C283" s="1852" t="s">
        <v>2754</v>
      </c>
      <c r="D283" s="1852" t="s">
        <v>2755</v>
      </c>
      <c r="E283" s="1852" t="s">
        <v>2756</v>
      </c>
      <c r="F283" s="1852" t="s">
        <v>2282</v>
      </c>
      <c r="G283" s="1852" t="s">
        <v>28</v>
      </c>
      <c r="H283" s="1852" t="s">
        <v>28</v>
      </c>
      <c r="I283" s="1852" t="s">
        <v>861</v>
      </c>
    </row>
    <row customHeight="1" ht="11.25">
      <c r="A284" s="1852" t="s">
        <v>2269</v>
      </c>
      <c r="B284" s="1852" t="s">
        <v>16</v>
      </c>
      <c r="C284" s="1852" t="s">
        <v>2757</v>
      </c>
      <c r="D284" s="1852" t="s">
        <v>2758</v>
      </c>
      <c r="E284" s="1852" t="s">
        <v>2759</v>
      </c>
      <c r="F284" s="1852" t="s">
        <v>2745</v>
      </c>
      <c r="G284" s="1852" t="s">
        <v>28</v>
      </c>
      <c r="H284" s="1852" t="s">
        <v>28</v>
      </c>
      <c r="I284" s="1852" t="s">
        <v>861</v>
      </c>
    </row>
    <row customHeight="1" ht="11.25">
      <c r="A285" s="1852" t="s">
        <v>2269</v>
      </c>
      <c r="B285" s="1852" t="s">
        <v>16</v>
      </c>
      <c r="C285" s="1852" t="s">
        <v>2760</v>
      </c>
      <c r="D285" s="1852" t="s">
        <v>2761</v>
      </c>
      <c r="E285" s="1852" t="s">
        <v>2762</v>
      </c>
      <c r="F285" s="1852" t="s">
        <v>2763</v>
      </c>
      <c r="G285" s="1852" t="s">
        <v>2764</v>
      </c>
      <c r="H285" s="1852" t="s">
        <v>28</v>
      </c>
      <c r="I285" s="1852" t="s">
        <v>861</v>
      </c>
    </row>
    <row customHeight="1" ht="11.25">
      <c r="A286" s="1852" t="s">
        <v>2269</v>
      </c>
      <c r="B286" s="1852" t="s">
        <v>16</v>
      </c>
      <c r="C286" s="1852" t="s">
        <v>2962</v>
      </c>
      <c r="D286" s="1852" t="s">
        <v>2963</v>
      </c>
      <c r="E286" s="1852" t="s">
        <v>2964</v>
      </c>
      <c r="F286" s="1852" t="s">
        <v>2297</v>
      </c>
      <c r="G286" s="1852" t="s">
        <v>2965</v>
      </c>
      <c r="H286" s="1852" t="s">
        <v>28</v>
      </c>
      <c r="I286" s="1852" t="s">
        <v>861</v>
      </c>
    </row>
    <row customHeight="1" ht="11.25">
      <c r="A287" s="1852" t="s">
        <v>2269</v>
      </c>
      <c r="B287" s="1852" t="s">
        <v>16</v>
      </c>
      <c r="C287" s="1852" t="s">
        <v>2966</v>
      </c>
      <c r="D287" s="1852" t="s">
        <v>2967</v>
      </c>
      <c r="E287" s="1852" t="s">
        <v>2968</v>
      </c>
      <c r="F287" s="1852" t="s">
        <v>2969</v>
      </c>
      <c r="G287" s="1852" t="s">
        <v>2970</v>
      </c>
      <c r="H287" s="1852" t="s">
        <v>28</v>
      </c>
      <c r="I287" s="1852" t="s">
        <v>861</v>
      </c>
    </row>
    <row customHeight="1" ht="11.25">
      <c r="A288" s="1852" t="s">
        <v>2269</v>
      </c>
      <c r="B288" s="1852" t="s">
        <v>16</v>
      </c>
      <c r="C288" s="1852" t="s">
        <v>2787</v>
      </c>
      <c r="D288" s="1852" t="s">
        <v>2788</v>
      </c>
      <c r="E288" s="1852" t="s">
        <v>2789</v>
      </c>
      <c r="F288" s="1852" t="s">
        <v>2297</v>
      </c>
      <c r="G288" s="1852" t="s">
        <v>28</v>
      </c>
      <c r="H288" s="1852" t="s">
        <v>28</v>
      </c>
      <c r="I288" s="1852" t="s">
        <v>861</v>
      </c>
    </row>
    <row customHeight="1" ht="11.25">
      <c r="A289" s="1852" t="s">
        <v>2269</v>
      </c>
      <c r="B289" s="1852" t="s">
        <v>16</v>
      </c>
      <c r="C289" s="1852" t="s">
        <v>2813</v>
      </c>
      <c r="D289" s="1852" t="s">
        <v>2814</v>
      </c>
      <c r="E289" s="1852" t="s">
        <v>2315</v>
      </c>
      <c r="F289" s="1852" t="s">
        <v>2815</v>
      </c>
      <c r="G289" s="1852" t="s">
        <v>2816</v>
      </c>
      <c r="H289" s="1852" t="s">
        <v>28</v>
      </c>
      <c r="I289" s="1852" t="s">
        <v>861</v>
      </c>
    </row>
    <row customHeight="1" ht="11.25">
      <c r="A290" s="1852" t="s">
        <v>2269</v>
      </c>
      <c r="B290" s="1852" t="s">
        <v>16</v>
      </c>
      <c r="C290" s="1852" t="s">
        <v>2817</v>
      </c>
      <c r="D290" s="1852" t="s">
        <v>2814</v>
      </c>
      <c r="E290" s="1852" t="s">
        <v>2315</v>
      </c>
      <c r="F290" s="1852" t="s">
        <v>2818</v>
      </c>
      <c r="G290" s="1852" t="s">
        <v>2816</v>
      </c>
      <c r="H290" s="1852" t="s">
        <v>28</v>
      </c>
      <c r="I290" s="1852" t="s">
        <v>861</v>
      </c>
    </row>
    <row customHeight="1" ht="11.25">
      <c r="A291" s="1852" t="s">
        <v>2269</v>
      </c>
      <c r="B291" s="1852" t="s">
        <v>16</v>
      </c>
      <c r="C291" s="1852" t="s">
        <v>2819</v>
      </c>
      <c r="D291" s="1852" t="s">
        <v>2814</v>
      </c>
      <c r="E291" s="1852" t="s">
        <v>2315</v>
      </c>
      <c r="F291" s="1852" t="s">
        <v>2820</v>
      </c>
      <c r="G291" s="1852" t="s">
        <v>28</v>
      </c>
      <c r="H291" s="1852" t="s">
        <v>28</v>
      </c>
      <c r="I291" s="1852" t="s">
        <v>861</v>
      </c>
    </row>
    <row customHeight="1" ht="11.25">
      <c r="A292" s="1852" t="s">
        <v>2269</v>
      </c>
      <c r="B292" s="1852" t="s">
        <v>16</v>
      </c>
      <c r="C292" s="1852" t="s">
        <v>2971</v>
      </c>
      <c r="D292" s="1852" t="s">
        <v>2972</v>
      </c>
      <c r="E292" s="1852" t="s">
        <v>2973</v>
      </c>
      <c r="F292" s="1852" t="s">
        <v>2609</v>
      </c>
      <c r="G292" s="1852" t="s">
        <v>2974</v>
      </c>
      <c r="H292" s="1852" t="s">
        <v>28</v>
      </c>
      <c r="I292" s="1852" t="s">
        <v>861</v>
      </c>
    </row>
    <row customHeight="1" ht="11.25">
      <c r="A293" s="1852" t="s">
        <v>2269</v>
      </c>
      <c r="B293" s="1852" t="s">
        <v>16</v>
      </c>
      <c r="C293" s="1852" t="s">
        <v>2975</v>
      </c>
      <c r="D293" s="1852" t="s">
        <v>2976</v>
      </c>
      <c r="E293" s="1852" t="s">
        <v>2977</v>
      </c>
      <c r="F293" s="1852" t="s">
        <v>2282</v>
      </c>
      <c r="G293" s="1852" t="s">
        <v>2978</v>
      </c>
      <c r="H293" s="1852" t="s">
        <v>28</v>
      </c>
      <c r="I293" s="1852" t="s">
        <v>861</v>
      </c>
    </row>
    <row customHeight="1" ht="11.25">
      <c r="A294" s="1852" t="s">
        <v>2269</v>
      </c>
      <c r="B294" s="1852" t="s">
        <v>16</v>
      </c>
      <c r="C294" s="1852" t="s">
        <v>2979</v>
      </c>
      <c r="D294" s="1852" t="s">
        <v>2980</v>
      </c>
      <c r="E294" s="1852" t="s">
        <v>2981</v>
      </c>
      <c r="F294" s="1852" t="s">
        <v>2368</v>
      </c>
      <c r="G294" s="1852" t="s">
        <v>28</v>
      </c>
      <c r="H294" s="1852" t="s">
        <v>2982</v>
      </c>
      <c r="I294" s="1852" t="s">
        <v>861</v>
      </c>
    </row>
    <row customHeight="1" ht="11.25">
      <c r="A295" s="1852" t="s">
        <v>2269</v>
      </c>
      <c r="B295" s="1852" t="s">
        <v>16</v>
      </c>
      <c r="C295" s="1852" t="s">
        <v>2983</v>
      </c>
      <c r="D295" s="1852" t="s">
        <v>2984</v>
      </c>
      <c r="E295" s="1852" t="s">
        <v>2985</v>
      </c>
      <c r="F295" s="1852" t="s">
        <v>2282</v>
      </c>
      <c r="G295" s="1852" t="s">
        <v>28</v>
      </c>
      <c r="H295" s="1852" t="s">
        <v>28</v>
      </c>
      <c r="I295" s="1852" t="s">
        <v>861</v>
      </c>
    </row>
    <row customHeight="1" ht="11.25">
      <c r="A296" s="1852" t="s">
        <v>2269</v>
      </c>
      <c r="B296" s="1852" t="s">
        <v>16</v>
      </c>
      <c r="C296" s="1852" t="s">
        <v>2986</v>
      </c>
      <c r="D296" s="1852" t="s">
        <v>2987</v>
      </c>
      <c r="E296" s="1852" t="s">
        <v>2988</v>
      </c>
      <c r="F296" s="1852" t="s">
        <v>2368</v>
      </c>
      <c r="G296" s="1852" t="s">
        <v>28</v>
      </c>
      <c r="H296" s="1852" t="s">
        <v>28</v>
      </c>
      <c r="I296" s="1852" t="s">
        <v>861</v>
      </c>
    </row>
    <row customHeight="1" ht="11.25">
      <c r="A297" s="1852" t="s">
        <v>2269</v>
      </c>
      <c r="B297" s="1852" t="s">
        <v>16</v>
      </c>
      <c r="C297" s="1852" t="s">
        <v>2989</v>
      </c>
      <c r="D297" s="1852" t="s">
        <v>2990</v>
      </c>
      <c r="E297" s="1852" t="s">
        <v>2991</v>
      </c>
      <c r="F297" s="1852" t="s">
        <v>2368</v>
      </c>
      <c r="G297" s="1852" t="s">
        <v>2992</v>
      </c>
      <c r="H297" s="1852" t="s">
        <v>28</v>
      </c>
      <c r="I297" s="1852" t="s">
        <v>861</v>
      </c>
    </row>
    <row customHeight="1" ht="11.25">
      <c r="A298" s="1852" t="s">
        <v>2269</v>
      </c>
      <c r="B298" s="1852" t="s">
        <v>16</v>
      </c>
      <c r="C298" s="1852" t="s">
        <v>2993</v>
      </c>
      <c r="D298" s="1852" t="s">
        <v>2994</v>
      </c>
      <c r="E298" s="1852" t="s">
        <v>2995</v>
      </c>
      <c r="F298" s="1852" t="s">
        <v>2368</v>
      </c>
      <c r="G298" s="1852" t="s">
        <v>2996</v>
      </c>
      <c r="H298" s="1852" t="s">
        <v>28</v>
      </c>
      <c r="I298" s="1852" t="s">
        <v>861</v>
      </c>
    </row>
    <row customHeight="1" ht="11.25">
      <c r="A299" s="1852" t="s">
        <v>2269</v>
      </c>
      <c r="B299" s="1852" t="s">
        <v>16</v>
      </c>
      <c r="C299" s="1852" t="s">
        <v>2997</v>
      </c>
      <c r="D299" s="1852" t="s">
        <v>2998</v>
      </c>
      <c r="E299" s="1852" t="s">
        <v>2999</v>
      </c>
      <c r="F299" s="1852" t="s">
        <v>2497</v>
      </c>
      <c r="G299" s="1852" t="s">
        <v>28</v>
      </c>
      <c r="H299" s="1852" t="s">
        <v>3000</v>
      </c>
      <c r="I299" s="1852" t="s">
        <v>861</v>
      </c>
    </row>
    <row customHeight="1" ht="11.25">
      <c r="A300" s="1852" t="s">
        <v>2269</v>
      </c>
      <c r="B300" s="1852" t="s">
        <v>16</v>
      </c>
      <c r="C300" s="1852" t="s">
        <v>3001</v>
      </c>
      <c r="D300" s="1852" t="s">
        <v>2998</v>
      </c>
      <c r="E300" s="1852" t="s">
        <v>3002</v>
      </c>
      <c r="F300" s="1852" t="s">
        <v>2287</v>
      </c>
      <c r="G300" s="1852" t="s">
        <v>28</v>
      </c>
      <c r="H300" s="1852" t="s">
        <v>28</v>
      </c>
      <c r="I300" s="1852" t="s">
        <v>861</v>
      </c>
    </row>
    <row customHeight="1" ht="11.25">
      <c r="A301" s="1852" t="s">
        <v>2269</v>
      </c>
      <c r="B301" s="1852" t="s">
        <v>16</v>
      </c>
      <c r="C301" s="1852" t="s">
        <v>3003</v>
      </c>
      <c r="D301" s="1852" t="s">
        <v>3004</v>
      </c>
      <c r="E301" s="1852" t="s">
        <v>3005</v>
      </c>
      <c r="F301" s="1852" t="s">
        <v>2497</v>
      </c>
      <c r="G301" s="1852" t="s">
        <v>3006</v>
      </c>
      <c r="H301" s="1852" t="s">
        <v>28</v>
      </c>
      <c r="I301" s="1852" t="s">
        <v>861</v>
      </c>
    </row>
    <row customHeight="1" ht="11.25">
      <c r="A302" s="1852" t="s">
        <v>2269</v>
      </c>
      <c r="B302" s="1852" t="s">
        <v>16</v>
      </c>
      <c r="C302" s="1852" t="s">
        <v>3007</v>
      </c>
      <c r="D302" s="1852" t="s">
        <v>3008</v>
      </c>
      <c r="E302" s="1852" t="s">
        <v>3009</v>
      </c>
      <c r="F302" s="1852" t="s">
        <v>3010</v>
      </c>
      <c r="G302" s="1852" t="s">
        <v>3011</v>
      </c>
      <c r="H302" s="1852" t="s">
        <v>28</v>
      </c>
      <c r="I302" s="1852" t="s">
        <v>861</v>
      </c>
    </row>
    <row customHeight="1" ht="11.25">
      <c r="A303" s="1852" t="s">
        <v>2269</v>
      </c>
      <c r="B303" s="1852" t="s">
        <v>16</v>
      </c>
      <c r="C303" s="1852" t="s">
        <v>3012</v>
      </c>
      <c r="D303" s="1852" t="s">
        <v>3013</v>
      </c>
      <c r="E303" s="1852" t="s">
        <v>3014</v>
      </c>
      <c r="F303" s="1852" t="s">
        <v>2368</v>
      </c>
      <c r="G303" s="1852" t="s">
        <v>3015</v>
      </c>
      <c r="H303" s="1852" t="s">
        <v>28</v>
      </c>
      <c r="I303" s="1852" t="s">
        <v>861</v>
      </c>
    </row>
    <row customHeight="1" ht="11.25">
      <c r="A304" s="1852" t="s">
        <v>2269</v>
      </c>
      <c r="B304" s="1852" t="s">
        <v>16</v>
      </c>
      <c r="C304" s="1852" t="s">
        <v>3016</v>
      </c>
      <c r="D304" s="1852" t="s">
        <v>3017</v>
      </c>
      <c r="E304" s="1852" t="s">
        <v>3018</v>
      </c>
      <c r="F304" s="1852" t="s">
        <v>2482</v>
      </c>
      <c r="G304" s="1852" t="s">
        <v>28</v>
      </c>
      <c r="H304" s="1852" t="s">
        <v>28</v>
      </c>
      <c r="I304" s="1852" t="s">
        <v>861</v>
      </c>
    </row>
    <row customHeight="1" ht="11.25">
      <c r="A305" s="1852" t="s">
        <v>2269</v>
      </c>
      <c r="B305" s="1852" t="s">
        <v>16</v>
      </c>
      <c r="C305" s="1852" t="s">
        <v>3019</v>
      </c>
      <c r="D305" s="1852" t="s">
        <v>3020</v>
      </c>
      <c r="E305" s="1852" t="s">
        <v>3021</v>
      </c>
      <c r="F305" s="1852" t="s">
        <v>2368</v>
      </c>
      <c r="G305" s="1852" t="s">
        <v>28</v>
      </c>
      <c r="H305" s="1852" t="s">
        <v>28</v>
      </c>
      <c r="I305" s="1852" t="s">
        <v>861</v>
      </c>
    </row>
    <row customHeight="1" ht="11.25">
      <c r="A306" s="1852" t="s">
        <v>2269</v>
      </c>
      <c r="B306" s="1852" t="s">
        <v>16</v>
      </c>
      <c r="C306" s="1852" t="s">
        <v>3022</v>
      </c>
      <c r="D306" s="1852" t="s">
        <v>3023</v>
      </c>
      <c r="E306" s="1852" t="s">
        <v>3024</v>
      </c>
      <c r="F306" s="1852" t="s">
        <v>2287</v>
      </c>
      <c r="G306" s="1852" t="s">
        <v>3025</v>
      </c>
      <c r="H306" s="1852" t="s">
        <v>28</v>
      </c>
      <c r="I306" s="1852" t="s">
        <v>861</v>
      </c>
    </row>
    <row customHeight="1" ht="11.25">
      <c r="A307" s="1852" t="s">
        <v>2269</v>
      </c>
      <c r="B307" s="1852" t="s">
        <v>16</v>
      </c>
      <c r="C307" s="1852" t="s">
        <v>2821</v>
      </c>
      <c r="D307" s="1852" t="s">
        <v>2822</v>
      </c>
      <c r="E307" s="1852" t="s">
        <v>2823</v>
      </c>
      <c r="F307" s="1852" t="s">
        <v>2824</v>
      </c>
      <c r="G307" s="1852" t="s">
        <v>28</v>
      </c>
      <c r="H307" s="1852" t="s">
        <v>28</v>
      </c>
      <c r="I307" s="1852" t="s">
        <v>861</v>
      </c>
    </row>
    <row customHeight="1" ht="11.25">
      <c r="A308" s="1852" t="s">
        <v>2269</v>
      </c>
      <c r="B308" s="1852" t="s">
        <v>16</v>
      </c>
      <c r="C308" s="1852" t="s">
        <v>3026</v>
      </c>
      <c r="D308" s="1852" t="s">
        <v>3027</v>
      </c>
      <c r="E308" s="1852" t="s">
        <v>3028</v>
      </c>
      <c r="F308" s="1852" t="s">
        <v>2297</v>
      </c>
      <c r="G308" s="1852" t="s">
        <v>28</v>
      </c>
      <c r="H308" s="1852" t="s">
        <v>28</v>
      </c>
      <c r="I308" s="1852" t="s">
        <v>861</v>
      </c>
    </row>
    <row customHeight="1" ht="11.25">
      <c r="A309" s="1852" t="s">
        <v>2269</v>
      </c>
      <c r="B309" s="1852" t="s">
        <v>16</v>
      </c>
      <c r="C309" s="1852" t="s">
        <v>3029</v>
      </c>
      <c r="D309" s="1852" t="s">
        <v>3030</v>
      </c>
      <c r="E309" s="1852" t="s">
        <v>3031</v>
      </c>
      <c r="F309" s="1852" t="s">
        <v>3032</v>
      </c>
      <c r="G309" s="1852" t="s">
        <v>3033</v>
      </c>
      <c r="H309" s="1852" t="s">
        <v>28</v>
      </c>
      <c r="I309" s="1852" t="s">
        <v>861</v>
      </c>
    </row>
    <row customHeight="1" ht="11.25">
      <c r="A310" s="1852" t="s">
        <v>2269</v>
      </c>
      <c r="B310" s="1852" t="s">
        <v>16</v>
      </c>
      <c r="C310" s="1852" t="s">
        <v>2825</v>
      </c>
      <c r="D310" s="1852" t="s">
        <v>2826</v>
      </c>
      <c r="E310" s="1852" t="s">
        <v>2827</v>
      </c>
      <c r="F310" s="1852" t="s">
        <v>2828</v>
      </c>
      <c r="G310" s="1852" t="s">
        <v>28</v>
      </c>
      <c r="H310" s="1852" t="s">
        <v>28</v>
      </c>
      <c r="I310" s="1852" t="s">
        <v>861</v>
      </c>
    </row>
    <row customHeight="1" ht="11.25">
      <c r="A311" s="1852" t="s">
        <v>2269</v>
      </c>
      <c r="B311" s="1852" t="s">
        <v>16</v>
      </c>
      <c r="C311" s="1852" t="s">
        <v>2832</v>
      </c>
      <c r="D311" s="1852" t="s">
        <v>2833</v>
      </c>
      <c r="E311" s="1852" t="s">
        <v>2834</v>
      </c>
      <c r="F311" s="1852" t="s">
        <v>2515</v>
      </c>
      <c r="G311" s="1852" t="s">
        <v>2835</v>
      </c>
      <c r="H311" s="1852" t="s">
        <v>28</v>
      </c>
      <c r="I311" s="1852" t="s">
        <v>861</v>
      </c>
    </row>
    <row customHeight="1" ht="11.25">
      <c r="A312" s="1852" t="s">
        <v>2269</v>
      </c>
      <c r="B312" s="1852" t="s">
        <v>16</v>
      </c>
      <c r="C312" s="1852" t="s">
        <v>2839</v>
      </c>
      <c r="D312" s="1852" t="s">
        <v>2840</v>
      </c>
      <c r="E312" s="1852" t="s">
        <v>2841</v>
      </c>
      <c r="F312" s="1852" t="s">
        <v>2842</v>
      </c>
      <c r="G312" s="1852" t="s">
        <v>28</v>
      </c>
      <c r="H312" s="1852" t="s">
        <v>28</v>
      </c>
      <c r="I312" s="1852" t="s">
        <v>861</v>
      </c>
    </row>
    <row customHeight="1" ht="11.25">
      <c r="A313" s="1852" t="s">
        <v>2269</v>
      </c>
      <c r="B313" s="1852" t="s">
        <v>16</v>
      </c>
      <c r="C313" s="1852" t="s">
        <v>2270</v>
      </c>
      <c r="D313" s="1852" t="s">
        <v>2271</v>
      </c>
      <c r="E313" s="1852" t="s">
        <v>2272</v>
      </c>
      <c r="F313" s="1852" t="s">
        <v>2273</v>
      </c>
      <c r="G313" s="1852" t="s">
        <v>2274</v>
      </c>
      <c r="H313" s="1852" t="s">
        <v>28</v>
      </c>
      <c r="I313" s="1852" t="s">
        <v>914</v>
      </c>
    </row>
    <row customHeight="1" ht="11.25">
      <c r="A314" s="1852" t="s">
        <v>2269</v>
      </c>
      <c r="B314" s="1852" t="s">
        <v>16</v>
      </c>
      <c r="C314" s="1852" t="s">
        <v>3034</v>
      </c>
      <c r="D314" s="1852" t="s">
        <v>3035</v>
      </c>
      <c r="E314" s="1852" t="s">
        <v>3036</v>
      </c>
      <c r="F314" s="1852" t="s">
        <v>2451</v>
      </c>
      <c r="G314" s="1852" t="s">
        <v>3037</v>
      </c>
      <c r="H314" s="1852" t="s">
        <v>28</v>
      </c>
      <c r="I314" s="1852" t="s">
        <v>914</v>
      </c>
    </row>
    <row customHeight="1" ht="11.25">
      <c r="A315" s="1852" t="s">
        <v>2269</v>
      </c>
      <c r="B315" s="1852" t="s">
        <v>16</v>
      </c>
      <c r="C315" s="1852" t="s">
        <v>2289</v>
      </c>
      <c r="D315" s="1852" t="s">
        <v>2290</v>
      </c>
      <c r="E315" s="1852" t="s">
        <v>2291</v>
      </c>
      <c r="F315" s="1852" t="s">
        <v>2292</v>
      </c>
      <c r="G315" s="1852" t="s">
        <v>2293</v>
      </c>
      <c r="H315" s="1852" t="s">
        <v>28</v>
      </c>
      <c r="I315" s="1852" t="s">
        <v>914</v>
      </c>
    </row>
    <row customHeight="1" ht="11.25">
      <c r="A316" s="1852" t="s">
        <v>2269</v>
      </c>
      <c r="B316" s="1852" t="s">
        <v>16</v>
      </c>
      <c r="C316" s="1852" t="s">
        <v>2294</v>
      </c>
      <c r="D316" s="1852" t="s">
        <v>2295</v>
      </c>
      <c r="E316" s="1852" t="s">
        <v>2296</v>
      </c>
      <c r="F316" s="1852" t="s">
        <v>2297</v>
      </c>
      <c r="G316" s="1852" t="s">
        <v>2298</v>
      </c>
      <c r="H316" s="1852" t="s">
        <v>28</v>
      </c>
      <c r="I316" s="1852" t="s">
        <v>914</v>
      </c>
    </row>
    <row customHeight="1" ht="11.25">
      <c r="A317" s="1852" t="s">
        <v>2269</v>
      </c>
      <c r="B317" s="1852" t="s">
        <v>16</v>
      </c>
      <c r="C317" s="1852" t="s">
        <v>13</v>
      </c>
      <c r="D317" s="1852" t="s">
        <v>48</v>
      </c>
      <c r="E317" s="1852" t="s">
        <v>51</v>
      </c>
      <c r="F317" s="1852" t="s">
        <v>53</v>
      </c>
      <c r="G317" s="1852" t="s">
        <v>28</v>
      </c>
      <c r="H317" s="1852" t="s">
        <v>28</v>
      </c>
      <c r="I317" s="1852" t="s">
        <v>914</v>
      </c>
    </row>
    <row customHeight="1" ht="11.25">
      <c r="A318" s="1852" t="s">
        <v>2269</v>
      </c>
      <c r="B318" s="1852" t="s">
        <v>16</v>
      </c>
      <c r="C318" s="1852" t="s">
        <v>2308</v>
      </c>
      <c r="D318" s="1852" t="s">
        <v>2309</v>
      </c>
      <c r="E318" s="1852" t="s">
        <v>2310</v>
      </c>
      <c r="F318" s="1852" t="s">
        <v>2311</v>
      </c>
      <c r="G318" s="1852" t="s">
        <v>2312</v>
      </c>
      <c r="H318" s="1852" t="s">
        <v>28</v>
      </c>
      <c r="I318" s="1852" t="s">
        <v>914</v>
      </c>
    </row>
    <row customHeight="1" ht="11.25">
      <c r="A319" s="1852" t="s">
        <v>2269</v>
      </c>
      <c r="B319" s="1852" t="s">
        <v>16</v>
      </c>
      <c r="C319" s="1852" t="s">
        <v>28</v>
      </c>
      <c r="D319" s="1852" t="s">
        <v>2318</v>
      </c>
      <c r="E319" s="1852" t="s">
        <v>2319</v>
      </c>
      <c r="F319" s="1852" t="s">
        <v>2311</v>
      </c>
      <c r="G319" s="1852" t="s">
        <v>28</v>
      </c>
      <c r="H319" s="1852" t="s">
        <v>28</v>
      </c>
      <c r="I319" s="1852" t="s">
        <v>914</v>
      </c>
    </row>
    <row customHeight="1" ht="11.25">
      <c r="A320" s="1852" t="s">
        <v>2269</v>
      </c>
      <c r="B320" s="1852" t="s">
        <v>16</v>
      </c>
      <c r="C320" s="1852" t="s">
        <v>2850</v>
      </c>
      <c r="D320" s="1852" t="s">
        <v>2851</v>
      </c>
      <c r="E320" s="1852" t="s">
        <v>2852</v>
      </c>
      <c r="F320" s="1852" t="s">
        <v>2853</v>
      </c>
      <c r="G320" s="1852" t="s">
        <v>2854</v>
      </c>
      <c r="H320" s="1852" t="s">
        <v>28</v>
      </c>
      <c r="I320" s="1852" t="s">
        <v>914</v>
      </c>
    </row>
    <row customHeight="1" ht="11.25">
      <c r="A321" s="1852" t="s">
        <v>2269</v>
      </c>
      <c r="B321" s="1852" t="s">
        <v>16</v>
      </c>
      <c r="C321" s="1852" t="s">
        <v>2330</v>
      </c>
      <c r="D321" s="1852" t="s">
        <v>2331</v>
      </c>
      <c r="E321" s="1852" t="s">
        <v>2332</v>
      </c>
      <c r="F321" s="1852" t="s">
        <v>2333</v>
      </c>
      <c r="G321" s="1852" t="s">
        <v>28</v>
      </c>
      <c r="H321" s="1852" t="s">
        <v>28</v>
      </c>
      <c r="I321" s="1852" t="s">
        <v>914</v>
      </c>
    </row>
    <row customHeight="1" ht="11.25">
      <c r="A322" s="1852" t="s">
        <v>2269</v>
      </c>
      <c r="B322" s="1852" t="s">
        <v>16</v>
      </c>
      <c r="C322" s="1852" t="s">
        <v>2338</v>
      </c>
      <c r="D322" s="1852" t="s">
        <v>2339</v>
      </c>
      <c r="E322" s="1852" t="s">
        <v>2340</v>
      </c>
      <c r="F322" s="1852" t="s">
        <v>583</v>
      </c>
      <c r="G322" s="1852" t="s">
        <v>2341</v>
      </c>
      <c r="H322" s="1852" t="s">
        <v>28</v>
      </c>
      <c r="I322" s="1852" t="s">
        <v>914</v>
      </c>
    </row>
    <row customHeight="1" ht="11.25">
      <c r="A323" s="1852" t="s">
        <v>2269</v>
      </c>
      <c r="B323" s="1852" t="s">
        <v>16</v>
      </c>
      <c r="C323" s="1852" t="s">
        <v>2855</v>
      </c>
      <c r="D323" s="1852" t="s">
        <v>2856</v>
      </c>
      <c r="E323" s="1852" t="s">
        <v>2857</v>
      </c>
      <c r="F323" s="1852" t="s">
        <v>583</v>
      </c>
      <c r="G323" s="1852" t="s">
        <v>28</v>
      </c>
      <c r="H323" s="1852" t="s">
        <v>28</v>
      </c>
      <c r="I323" s="1852" t="s">
        <v>914</v>
      </c>
    </row>
    <row customHeight="1" ht="11.25">
      <c r="A324" s="1852" t="s">
        <v>2269</v>
      </c>
      <c r="B324" s="1852" t="s">
        <v>16</v>
      </c>
      <c r="C324" s="1852" t="s">
        <v>2342</v>
      </c>
      <c r="D324" s="1852" t="s">
        <v>2343</v>
      </c>
      <c r="E324" s="1852" t="s">
        <v>2344</v>
      </c>
      <c r="F324" s="1852" t="s">
        <v>583</v>
      </c>
      <c r="G324" s="1852" t="s">
        <v>2345</v>
      </c>
      <c r="H324" s="1852" t="s">
        <v>2346</v>
      </c>
      <c r="I324" s="1852" t="s">
        <v>914</v>
      </c>
    </row>
    <row customHeight="1" ht="11.25">
      <c r="A325" s="1852" t="s">
        <v>2269</v>
      </c>
      <c r="B325" s="1852" t="s">
        <v>16</v>
      </c>
      <c r="C325" s="1852" t="s">
        <v>2347</v>
      </c>
      <c r="D325" s="1852" t="s">
        <v>2348</v>
      </c>
      <c r="E325" s="1852" t="s">
        <v>2349</v>
      </c>
      <c r="F325" s="1852" t="s">
        <v>583</v>
      </c>
      <c r="G325" s="1852" t="s">
        <v>2350</v>
      </c>
      <c r="H325" s="1852" t="s">
        <v>28</v>
      </c>
      <c r="I325" s="1852" t="s">
        <v>914</v>
      </c>
    </row>
    <row customHeight="1" ht="11.25">
      <c r="A326" s="1852" t="s">
        <v>2269</v>
      </c>
      <c r="B326" s="1852" t="s">
        <v>16</v>
      </c>
      <c r="C326" s="1852" t="s">
        <v>2858</v>
      </c>
      <c r="D326" s="1852" t="s">
        <v>2859</v>
      </c>
      <c r="E326" s="1852" t="s">
        <v>2860</v>
      </c>
      <c r="F326" s="1852" t="s">
        <v>583</v>
      </c>
      <c r="G326" s="1852" t="s">
        <v>28</v>
      </c>
      <c r="H326" s="1852" t="s">
        <v>2346</v>
      </c>
      <c r="I326" s="1852" t="s">
        <v>914</v>
      </c>
    </row>
    <row customHeight="1" ht="11.25">
      <c r="A327" s="1852" t="s">
        <v>2269</v>
      </c>
      <c r="B327" s="1852" t="s">
        <v>16</v>
      </c>
      <c r="C327" s="1852" t="s">
        <v>2355</v>
      </c>
      <c r="D327" s="1852" t="s">
        <v>2356</v>
      </c>
      <c r="E327" s="1852" t="s">
        <v>2357</v>
      </c>
      <c r="F327" s="1852" t="s">
        <v>2297</v>
      </c>
      <c r="G327" s="1852" t="s">
        <v>2358</v>
      </c>
      <c r="H327" s="1852" t="s">
        <v>28</v>
      </c>
      <c r="I327" s="1852" t="s">
        <v>914</v>
      </c>
    </row>
    <row customHeight="1" ht="11.25">
      <c r="A328" s="1852" t="s">
        <v>2269</v>
      </c>
      <c r="B328" s="1852" t="s">
        <v>16</v>
      </c>
      <c r="C328" s="1852" t="s">
        <v>2359</v>
      </c>
      <c r="D328" s="1852" t="s">
        <v>2360</v>
      </c>
      <c r="E328" s="1852" t="s">
        <v>2361</v>
      </c>
      <c r="F328" s="1852" t="s">
        <v>2297</v>
      </c>
      <c r="G328" s="1852" t="s">
        <v>28</v>
      </c>
      <c r="H328" s="1852" t="s">
        <v>28</v>
      </c>
      <c r="I328" s="1852" t="s">
        <v>914</v>
      </c>
    </row>
    <row customHeight="1" ht="11.25">
      <c r="A329" s="1852" t="s">
        <v>2269</v>
      </c>
      <c r="B329" s="1852" t="s">
        <v>16</v>
      </c>
      <c r="C329" s="1852" t="s">
        <v>2362</v>
      </c>
      <c r="D329" s="1852" t="s">
        <v>2363</v>
      </c>
      <c r="E329" s="1852" t="s">
        <v>2364</v>
      </c>
      <c r="F329" s="1852" t="s">
        <v>2311</v>
      </c>
      <c r="G329" s="1852" t="s">
        <v>28</v>
      </c>
      <c r="H329" s="1852" t="s">
        <v>28</v>
      </c>
      <c r="I329" s="1852" t="s">
        <v>914</v>
      </c>
    </row>
    <row customHeight="1" ht="11.25">
      <c r="A330" s="1852" t="s">
        <v>2269</v>
      </c>
      <c r="B330" s="1852" t="s">
        <v>16</v>
      </c>
      <c r="C330" s="1852" t="s">
        <v>2864</v>
      </c>
      <c r="D330" s="1852" t="s">
        <v>2865</v>
      </c>
      <c r="E330" s="1852" t="s">
        <v>2866</v>
      </c>
      <c r="F330" s="1852" t="s">
        <v>2723</v>
      </c>
      <c r="G330" s="1852" t="s">
        <v>28</v>
      </c>
      <c r="H330" s="1852" t="s">
        <v>28</v>
      </c>
      <c r="I330" s="1852" t="s">
        <v>914</v>
      </c>
    </row>
    <row customHeight="1" ht="11.25">
      <c r="A331" s="1852" t="s">
        <v>2269</v>
      </c>
      <c r="B331" s="1852" t="s">
        <v>16</v>
      </c>
      <c r="C331" s="1852" t="s">
        <v>2409</v>
      </c>
      <c r="D331" s="1852" t="s">
        <v>2410</v>
      </c>
      <c r="E331" s="1852" t="s">
        <v>2411</v>
      </c>
      <c r="F331" s="1852" t="s">
        <v>2278</v>
      </c>
      <c r="G331" s="1852" t="s">
        <v>2412</v>
      </c>
      <c r="H331" s="1852" t="s">
        <v>28</v>
      </c>
      <c r="I331" s="1852" t="s">
        <v>914</v>
      </c>
    </row>
    <row customHeight="1" ht="11.25">
      <c r="A332" s="1852" t="s">
        <v>2269</v>
      </c>
      <c r="B332" s="1852" t="s">
        <v>16</v>
      </c>
      <c r="C332" s="1852" t="s">
        <v>2413</v>
      </c>
      <c r="D332" s="1852" t="s">
        <v>2414</v>
      </c>
      <c r="E332" s="1852" t="s">
        <v>2415</v>
      </c>
      <c r="F332" s="1852" t="s">
        <v>2416</v>
      </c>
      <c r="G332" s="1852" t="s">
        <v>2417</v>
      </c>
      <c r="H332" s="1852" t="s">
        <v>28</v>
      </c>
      <c r="I332" s="1852" t="s">
        <v>914</v>
      </c>
    </row>
    <row customHeight="1" ht="11.25">
      <c r="A333" s="1852" t="s">
        <v>2269</v>
      </c>
      <c r="B333" s="1852" t="s">
        <v>16</v>
      </c>
      <c r="C333" s="1852" t="s">
        <v>2879</v>
      </c>
      <c r="D333" s="1852" t="s">
        <v>2880</v>
      </c>
      <c r="E333" s="1852" t="s">
        <v>2881</v>
      </c>
      <c r="F333" s="1852" t="s">
        <v>2558</v>
      </c>
      <c r="G333" s="1852" t="s">
        <v>2882</v>
      </c>
      <c r="H333" s="1852" t="s">
        <v>28</v>
      </c>
      <c r="I333" s="1852" t="s">
        <v>914</v>
      </c>
    </row>
    <row customHeight="1" ht="11.25">
      <c r="A334" s="1852" t="s">
        <v>2269</v>
      </c>
      <c r="B334" s="1852" t="s">
        <v>16</v>
      </c>
      <c r="C334" s="1852" t="s">
        <v>2423</v>
      </c>
      <c r="D334" s="1852" t="s">
        <v>2424</v>
      </c>
      <c r="E334" s="1852" t="s">
        <v>2425</v>
      </c>
      <c r="F334" s="1852" t="s">
        <v>2354</v>
      </c>
      <c r="G334" s="1852" t="s">
        <v>2426</v>
      </c>
      <c r="H334" s="1852" t="s">
        <v>28</v>
      </c>
      <c r="I334" s="1852" t="s">
        <v>914</v>
      </c>
    </row>
    <row customHeight="1" ht="11.25">
      <c r="A335" s="1852" t="s">
        <v>2269</v>
      </c>
      <c r="B335" s="1852" t="s">
        <v>16</v>
      </c>
      <c r="C335" s="1852" t="s">
        <v>2433</v>
      </c>
      <c r="D335" s="1852" t="s">
        <v>2434</v>
      </c>
      <c r="E335" s="1852" t="s">
        <v>2435</v>
      </c>
      <c r="F335" s="1852" t="s">
        <v>2436</v>
      </c>
      <c r="G335" s="1852" t="s">
        <v>2437</v>
      </c>
      <c r="H335" s="1852" t="s">
        <v>28</v>
      </c>
      <c r="I335" s="1852" t="s">
        <v>914</v>
      </c>
    </row>
    <row customHeight="1" ht="11.25">
      <c r="A336" s="1852" t="s">
        <v>2269</v>
      </c>
      <c r="B336" s="1852" t="s">
        <v>16</v>
      </c>
      <c r="C336" s="1852" t="s">
        <v>2883</v>
      </c>
      <c r="D336" s="1852" t="s">
        <v>2884</v>
      </c>
      <c r="E336" s="1852" t="s">
        <v>2885</v>
      </c>
      <c r="F336" s="1852" t="s">
        <v>2372</v>
      </c>
      <c r="G336" s="1852" t="s">
        <v>2886</v>
      </c>
      <c r="H336" s="1852" t="s">
        <v>28</v>
      </c>
      <c r="I336" s="1852" t="s">
        <v>914</v>
      </c>
    </row>
    <row customHeight="1" ht="11.25">
      <c r="A337" s="1852" t="s">
        <v>2269</v>
      </c>
      <c r="B337" s="1852" t="s">
        <v>16</v>
      </c>
      <c r="C337" s="1852" t="s">
        <v>2458</v>
      </c>
      <c r="D337" s="1852" t="s">
        <v>2459</v>
      </c>
      <c r="E337" s="1852" t="s">
        <v>2460</v>
      </c>
      <c r="F337" s="1852" t="s">
        <v>2461</v>
      </c>
      <c r="G337" s="1852" t="s">
        <v>2462</v>
      </c>
      <c r="H337" s="1852" t="s">
        <v>28</v>
      </c>
      <c r="I337" s="1852" t="s">
        <v>914</v>
      </c>
    </row>
    <row customHeight="1" ht="11.25">
      <c r="A338" s="1852" t="s">
        <v>2269</v>
      </c>
      <c r="B338" s="1852" t="s">
        <v>16</v>
      </c>
      <c r="C338" s="1852" t="s">
        <v>2476</v>
      </c>
      <c r="D338" s="1852" t="s">
        <v>2477</v>
      </c>
      <c r="E338" s="1852" t="s">
        <v>2478</v>
      </c>
      <c r="F338" s="1852" t="s">
        <v>2282</v>
      </c>
      <c r="G338" s="1852" t="s">
        <v>28</v>
      </c>
      <c r="H338" s="1852" t="s">
        <v>28</v>
      </c>
      <c r="I338" s="1852" t="s">
        <v>914</v>
      </c>
    </row>
    <row customHeight="1" ht="11.25">
      <c r="A339" s="1852" t="s">
        <v>2269</v>
      </c>
      <c r="B339" s="1852" t="s">
        <v>16</v>
      </c>
      <c r="C339" s="1852" t="s">
        <v>2479</v>
      </c>
      <c r="D339" s="1852" t="s">
        <v>2480</v>
      </c>
      <c r="E339" s="1852" t="s">
        <v>2481</v>
      </c>
      <c r="F339" s="1852" t="s">
        <v>2482</v>
      </c>
      <c r="G339" s="1852" t="s">
        <v>28</v>
      </c>
      <c r="H339" s="1852" t="s">
        <v>28</v>
      </c>
      <c r="I339" s="1852" t="s">
        <v>914</v>
      </c>
    </row>
    <row customHeight="1" ht="11.25">
      <c r="A340" s="1852" t="s">
        <v>2269</v>
      </c>
      <c r="B340" s="1852" t="s">
        <v>16</v>
      </c>
      <c r="C340" s="1852" t="s">
        <v>3038</v>
      </c>
      <c r="D340" s="1852" t="s">
        <v>3039</v>
      </c>
      <c r="E340" s="1852" t="s">
        <v>3040</v>
      </c>
      <c r="F340" s="1852" t="s">
        <v>2609</v>
      </c>
      <c r="G340" s="1852" t="s">
        <v>3041</v>
      </c>
      <c r="H340" s="1852" t="s">
        <v>28</v>
      </c>
      <c r="I340" s="1852" t="s">
        <v>914</v>
      </c>
    </row>
    <row customHeight="1" ht="11.25">
      <c r="A341" s="1852" t="s">
        <v>2269</v>
      </c>
      <c r="B341" s="1852" t="s">
        <v>16</v>
      </c>
      <c r="C341" s="1852" t="s">
        <v>2483</v>
      </c>
      <c r="D341" s="1852" t="s">
        <v>2484</v>
      </c>
      <c r="E341" s="1852" t="s">
        <v>2485</v>
      </c>
      <c r="F341" s="1852" t="s">
        <v>2297</v>
      </c>
      <c r="G341" s="1852" t="s">
        <v>28</v>
      </c>
      <c r="H341" s="1852" t="s">
        <v>28</v>
      </c>
      <c r="I341" s="1852" t="s">
        <v>914</v>
      </c>
    </row>
    <row customHeight="1" ht="11.25">
      <c r="A342" s="1852" t="s">
        <v>2269</v>
      </c>
      <c r="B342" s="1852" t="s">
        <v>16</v>
      </c>
      <c r="C342" s="1852" t="s">
        <v>2486</v>
      </c>
      <c r="D342" s="1852" t="s">
        <v>2487</v>
      </c>
      <c r="E342" s="1852" t="s">
        <v>2488</v>
      </c>
      <c r="F342" s="1852" t="s">
        <v>2482</v>
      </c>
      <c r="G342" s="1852" t="s">
        <v>28</v>
      </c>
      <c r="H342" s="1852" t="s">
        <v>28</v>
      </c>
      <c r="I342" s="1852" t="s">
        <v>914</v>
      </c>
    </row>
    <row customHeight="1" ht="11.25">
      <c r="A343" s="1852" t="s">
        <v>2269</v>
      </c>
      <c r="B343" s="1852" t="s">
        <v>16</v>
      </c>
      <c r="C343" s="1852" t="s">
        <v>2887</v>
      </c>
      <c r="D343" s="1852" t="s">
        <v>2888</v>
      </c>
      <c r="E343" s="1852" t="s">
        <v>2889</v>
      </c>
      <c r="F343" s="1852" t="s">
        <v>2282</v>
      </c>
      <c r="G343" s="1852" t="s">
        <v>2890</v>
      </c>
      <c r="H343" s="1852" t="s">
        <v>2891</v>
      </c>
      <c r="I343" s="1852" t="s">
        <v>914</v>
      </c>
    </row>
    <row customHeight="1" ht="11.25">
      <c r="A344" s="1852" t="s">
        <v>2269</v>
      </c>
      <c r="B344" s="1852" t="s">
        <v>16</v>
      </c>
      <c r="C344" s="1852" t="s">
        <v>2892</v>
      </c>
      <c r="D344" s="1852" t="s">
        <v>2893</v>
      </c>
      <c r="E344" s="1852" t="s">
        <v>2894</v>
      </c>
      <c r="F344" s="1852" t="s">
        <v>2399</v>
      </c>
      <c r="G344" s="1852" t="s">
        <v>28</v>
      </c>
      <c r="H344" s="1852" t="s">
        <v>28</v>
      </c>
      <c r="I344" s="1852" t="s">
        <v>914</v>
      </c>
    </row>
    <row customHeight="1" ht="11.25">
      <c r="A345" s="1852" t="s">
        <v>2269</v>
      </c>
      <c r="B345" s="1852" t="s">
        <v>16</v>
      </c>
      <c r="C345" s="1852" t="s">
        <v>2895</v>
      </c>
      <c r="D345" s="1852" t="s">
        <v>2896</v>
      </c>
      <c r="E345" s="1852" t="s">
        <v>2897</v>
      </c>
      <c r="F345" s="1852" t="s">
        <v>2529</v>
      </c>
      <c r="G345" s="1852" t="s">
        <v>28</v>
      </c>
      <c r="H345" s="1852" t="s">
        <v>28</v>
      </c>
      <c r="I345" s="1852" t="s">
        <v>914</v>
      </c>
    </row>
    <row customHeight="1" ht="11.25">
      <c r="A346" s="1852" t="s">
        <v>2269</v>
      </c>
      <c r="B346" s="1852" t="s">
        <v>16</v>
      </c>
      <c r="C346" s="1852" t="s">
        <v>2498</v>
      </c>
      <c r="D346" s="1852" t="s">
        <v>2499</v>
      </c>
      <c r="E346" s="1852" t="s">
        <v>2500</v>
      </c>
      <c r="F346" s="1852" t="s">
        <v>2287</v>
      </c>
      <c r="G346" s="1852" t="s">
        <v>2501</v>
      </c>
      <c r="H346" s="1852" t="s">
        <v>28</v>
      </c>
      <c r="I346" s="1852" t="s">
        <v>914</v>
      </c>
    </row>
    <row customHeight="1" ht="11.25">
      <c r="A347" s="1852" t="s">
        <v>2269</v>
      </c>
      <c r="B347" s="1852" t="s">
        <v>16</v>
      </c>
      <c r="C347" s="1852" t="s">
        <v>2505</v>
      </c>
      <c r="D347" s="1852" t="s">
        <v>2506</v>
      </c>
      <c r="E347" s="1852" t="s">
        <v>2507</v>
      </c>
      <c r="F347" s="1852" t="s">
        <v>2399</v>
      </c>
      <c r="G347" s="1852" t="s">
        <v>2508</v>
      </c>
      <c r="H347" s="1852" t="s">
        <v>28</v>
      </c>
      <c r="I347" s="1852" t="s">
        <v>914</v>
      </c>
    </row>
    <row customHeight="1" ht="11.25">
      <c r="A348" s="1852" t="s">
        <v>2269</v>
      </c>
      <c r="B348" s="1852" t="s">
        <v>16</v>
      </c>
      <c r="C348" s="1852" t="s">
        <v>2898</v>
      </c>
      <c r="D348" s="1852" t="s">
        <v>2899</v>
      </c>
      <c r="E348" s="1852" t="s">
        <v>2900</v>
      </c>
      <c r="F348" s="1852" t="s">
        <v>2482</v>
      </c>
      <c r="G348" s="1852" t="s">
        <v>2901</v>
      </c>
      <c r="H348" s="1852" t="s">
        <v>28</v>
      </c>
      <c r="I348" s="1852" t="s">
        <v>914</v>
      </c>
    </row>
    <row customHeight="1" ht="11.25">
      <c r="A349" s="1852" t="s">
        <v>2269</v>
      </c>
      <c r="B349" s="1852" t="s">
        <v>16</v>
      </c>
      <c r="C349" s="1852" t="s">
        <v>2509</v>
      </c>
      <c r="D349" s="1852" t="s">
        <v>2510</v>
      </c>
      <c r="E349" s="1852" t="s">
        <v>2511</v>
      </c>
      <c r="F349" s="1852" t="s">
        <v>2287</v>
      </c>
      <c r="G349" s="1852" t="s">
        <v>28</v>
      </c>
      <c r="H349" s="1852" t="s">
        <v>28</v>
      </c>
      <c r="I349" s="1852" t="s">
        <v>914</v>
      </c>
    </row>
    <row customHeight="1" ht="11.25">
      <c r="A350" s="1852" t="s">
        <v>2269</v>
      </c>
      <c r="B350" s="1852" t="s">
        <v>16</v>
      </c>
      <c r="C350" s="1852" t="s">
        <v>2512</v>
      </c>
      <c r="D350" s="1852" t="s">
        <v>2513</v>
      </c>
      <c r="E350" s="1852" t="s">
        <v>2514</v>
      </c>
      <c r="F350" s="1852" t="s">
        <v>2515</v>
      </c>
      <c r="G350" s="1852" t="s">
        <v>2516</v>
      </c>
      <c r="H350" s="1852" t="s">
        <v>28</v>
      </c>
      <c r="I350" s="1852" t="s">
        <v>914</v>
      </c>
    </row>
    <row customHeight="1" ht="11.25">
      <c r="A351" s="1852" t="s">
        <v>2269</v>
      </c>
      <c r="B351" s="1852" t="s">
        <v>16</v>
      </c>
      <c r="C351" s="1852" t="s">
        <v>2517</v>
      </c>
      <c r="D351" s="1852" t="s">
        <v>2518</v>
      </c>
      <c r="E351" s="1852" t="s">
        <v>2519</v>
      </c>
      <c r="F351" s="1852" t="s">
        <v>2520</v>
      </c>
      <c r="G351" s="1852" t="s">
        <v>28</v>
      </c>
      <c r="H351" s="1852" t="s">
        <v>28</v>
      </c>
      <c r="I351" s="1852" t="s">
        <v>914</v>
      </c>
    </row>
    <row customHeight="1" ht="11.25">
      <c r="A352" s="1852" t="s">
        <v>2269</v>
      </c>
      <c r="B352" s="1852" t="s">
        <v>16</v>
      </c>
      <c r="C352" s="1852" t="s">
        <v>2521</v>
      </c>
      <c r="D352" s="1852" t="s">
        <v>2522</v>
      </c>
      <c r="E352" s="1852" t="s">
        <v>2523</v>
      </c>
      <c r="F352" s="1852" t="s">
        <v>2524</v>
      </c>
      <c r="G352" s="1852" t="s">
        <v>2525</v>
      </c>
      <c r="H352" s="1852" t="s">
        <v>28</v>
      </c>
      <c r="I352" s="1852" t="s">
        <v>914</v>
      </c>
    </row>
    <row customHeight="1" ht="11.25">
      <c r="A353" s="1852" t="s">
        <v>2269</v>
      </c>
      <c r="B353" s="1852" t="s">
        <v>16</v>
      </c>
      <c r="C353" s="1852" t="s">
        <v>2902</v>
      </c>
      <c r="D353" s="1852" t="s">
        <v>2903</v>
      </c>
      <c r="E353" s="1852" t="s">
        <v>2904</v>
      </c>
      <c r="F353" s="1852" t="s">
        <v>2282</v>
      </c>
      <c r="G353" s="1852" t="s">
        <v>2905</v>
      </c>
      <c r="H353" s="1852" t="s">
        <v>2906</v>
      </c>
      <c r="I353" s="1852" t="s">
        <v>914</v>
      </c>
    </row>
    <row customHeight="1" ht="11.25">
      <c r="A354" s="1852" t="s">
        <v>2269</v>
      </c>
      <c r="B354" s="1852" t="s">
        <v>16</v>
      </c>
      <c r="C354" s="1852" t="s">
        <v>2526</v>
      </c>
      <c r="D354" s="1852" t="s">
        <v>2527</v>
      </c>
      <c r="E354" s="1852" t="s">
        <v>2528</v>
      </c>
      <c r="F354" s="1852" t="s">
        <v>2529</v>
      </c>
      <c r="G354" s="1852" t="s">
        <v>2530</v>
      </c>
      <c r="H354" s="1852" t="s">
        <v>28</v>
      </c>
      <c r="I354" s="1852" t="s">
        <v>914</v>
      </c>
    </row>
    <row customHeight="1" ht="11.25">
      <c r="A355" s="1852" t="s">
        <v>2269</v>
      </c>
      <c r="B355" s="1852" t="s">
        <v>16</v>
      </c>
      <c r="C355" s="1852" t="s">
        <v>2535</v>
      </c>
      <c r="D355" s="1852" t="s">
        <v>2536</v>
      </c>
      <c r="E355" s="1852" t="s">
        <v>2537</v>
      </c>
      <c r="F355" s="1852" t="s">
        <v>2292</v>
      </c>
      <c r="G355" s="1852" t="s">
        <v>2538</v>
      </c>
      <c r="H355" s="1852" t="s">
        <v>28</v>
      </c>
      <c r="I355" s="1852" t="s">
        <v>914</v>
      </c>
    </row>
    <row customHeight="1" ht="11.25">
      <c r="A356" s="1852" t="s">
        <v>2269</v>
      </c>
      <c r="B356" s="1852" t="s">
        <v>16</v>
      </c>
      <c r="C356" s="1852" t="s">
        <v>2539</v>
      </c>
      <c r="D356" s="1852" t="s">
        <v>2540</v>
      </c>
      <c r="E356" s="1852" t="s">
        <v>2541</v>
      </c>
      <c r="F356" s="1852" t="s">
        <v>2542</v>
      </c>
      <c r="G356" s="1852" t="s">
        <v>2543</v>
      </c>
      <c r="H356" s="1852" t="s">
        <v>28</v>
      </c>
      <c r="I356" s="1852" t="s">
        <v>914</v>
      </c>
    </row>
    <row customHeight="1" ht="11.25">
      <c r="A357" s="1852" t="s">
        <v>2269</v>
      </c>
      <c r="B357" s="1852" t="s">
        <v>16</v>
      </c>
      <c r="C357" s="1852" t="s">
        <v>2544</v>
      </c>
      <c r="D357" s="1852" t="s">
        <v>2545</v>
      </c>
      <c r="E357" s="1852" t="s">
        <v>2546</v>
      </c>
      <c r="F357" s="1852" t="s">
        <v>2372</v>
      </c>
      <c r="G357" s="1852" t="s">
        <v>2547</v>
      </c>
      <c r="H357" s="1852" t="s">
        <v>28</v>
      </c>
      <c r="I357" s="1852" t="s">
        <v>914</v>
      </c>
    </row>
    <row customHeight="1" ht="11.25">
      <c r="A358" s="1852" t="s">
        <v>2269</v>
      </c>
      <c r="B358" s="1852" t="s">
        <v>16</v>
      </c>
      <c r="C358" s="1852" t="s">
        <v>2907</v>
      </c>
      <c r="D358" s="1852" t="s">
        <v>2908</v>
      </c>
      <c r="E358" s="1852" t="s">
        <v>2909</v>
      </c>
      <c r="F358" s="1852" t="s">
        <v>2408</v>
      </c>
      <c r="G358" s="1852" t="s">
        <v>28</v>
      </c>
      <c r="H358" s="1852" t="s">
        <v>28</v>
      </c>
      <c r="I358" s="1852" t="s">
        <v>914</v>
      </c>
    </row>
    <row customHeight="1" ht="11.25">
      <c r="A359" s="1852" t="s">
        <v>2269</v>
      </c>
      <c r="B359" s="1852" t="s">
        <v>16</v>
      </c>
      <c r="C359" s="1852" t="s">
        <v>2910</v>
      </c>
      <c r="D359" s="1852" t="s">
        <v>2911</v>
      </c>
      <c r="E359" s="1852" t="s">
        <v>2912</v>
      </c>
      <c r="F359" s="1852" t="s">
        <v>2311</v>
      </c>
      <c r="G359" s="1852" t="s">
        <v>2913</v>
      </c>
      <c r="H359" s="1852" t="s">
        <v>28</v>
      </c>
      <c r="I359" s="1852" t="s">
        <v>914</v>
      </c>
    </row>
    <row customHeight="1" ht="11.25">
      <c r="A360" s="1852" t="s">
        <v>2269</v>
      </c>
      <c r="B360" s="1852" t="s">
        <v>16</v>
      </c>
      <c r="C360" s="1852" t="s">
        <v>2920</v>
      </c>
      <c r="D360" s="1852" t="s">
        <v>2921</v>
      </c>
      <c r="E360" s="1852" t="s">
        <v>2922</v>
      </c>
      <c r="F360" s="1852" t="s">
        <v>2723</v>
      </c>
      <c r="G360" s="1852" t="s">
        <v>2923</v>
      </c>
      <c r="H360" s="1852" t="s">
        <v>28</v>
      </c>
      <c r="I360" s="1852" t="s">
        <v>914</v>
      </c>
    </row>
    <row customHeight="1" ht="11.25">
      <c r="A361" s="1852" t="s">
        <v>2269</v>
      </c>
      <c r="B361" s="1852" t="s">
        <v>16</v>
      </c>
      <c r="C361" s="1852" t="s">
        <v>2594</v>
      </c>
      <c r="D361" s="1852" t="s">
        <v>2595</v>
      </c>
      <c r="E361" s="1852" t="s">
        <v>2596</v>
      </c>
      <c r="F361" s="1852" t="s">
        <v>2282</v>
      </c>
      <c r="G361" s="1852" t="s">
        <v>2597</v>
      </c>
      <c r="H361" s="1852" t="s">
        <v>28</v>
      </c>
      <c r="I361" s="1852" t="s">
        <v>914</v>
      </c>
    </row>
    <row customHeight="1" ht="11.25">
      <c r="A362" s="1852" t="s">
        <v>2269</v>
      </c>
      <c r="B362" s="1852" t="s">
        <v>16</v>
      </c>
      <c r="C362" s="1852" t="s">
        <v>2924</v>
      </c>
      <c r="D362" s="1852" t="s">
        <v>2925</v>
      </c>
      <c r="E362" s="1852" t="s">
        <v>2926</v>
      </c>
      <c r="F362" s="1852" t="s">
        <v>2311</v>
      </c>
      <c r="G362" s="1852" t="s">
        <v>2927</v>
      </c>
      <c r="H362" s="1852" t="s">
        <v>28</v>
      </c>
      <c r="I362" s="1852" t="s">
        <v>914</v>
      </c>
    </row>
    <row customHeight="1" ht="11.25">
      <c r="A363" s="1852" t="s">
        <v>2269</v>
      </c>
      <c r="B363" s="1852" t="s">
        <v>16</v>
      </c>
      <c r="C363" s="1852" t="s">
        <v>2928</v>
      </c>
      <c r="D363" s="1852" t="s">
        <v>2929</v>
      </c>
      <c r="E363" s="1852" t="s">
        <v>2930</v>
      </c>
      <c r="F363" s="1852" t="s">
        <v>2311</v>
      </c>
      <c r="G363" s="1852" t="s">
        <v>28</v>
      </c>
      <c r="H363" s="1852" t="s">
        <v>28</v>
      </c>
      <c r="I363" s="1852" t="s">
        <v>914</v>
      </c>
    </row>
    <row customHeight="1" ht="11.25">
      <c r="A364" s="1852" t="s">
        <v>2269</v>
      </c>
      <c r="B364" s="1852" t="s">
        <v>16</v>
      </c>
      <c r="C364" s="1852" t="s">
        <v>2613</v>
      </c>
      <c r="D364" s="1852" t="s">
        <v>2614</v>
      </c>
      <c r="E364" s="1852" t="s">
        <v>2615</v>
      </c>
      <c r="F364" s="1852" t="s">
        <v>2524</v>
      </c>
      <c r="G364" s="1852" t="s">
        <v>2616</v>
      </c>
      <c r="H364" s="1852" t="s">
        <v>28</v>
      </c>
      <c r="I364" s="1852" t="s">
        <v>914</v>
      </c>
    </row>
    <row customHeight="1" ht="11.25">
      <c r="A365" s="1852" t="s">
        <v>2269</v>
      </c>
      <c r="B365" s="1852" t="s">
        <v>16</v>
      </c>
      <c r="C365" s="1852" t="s">
        <v>3042</v>
      </c>
      <c r="D365" s="1852" t="s">
        <v>3043</v>
      </c>
      <c r="E365" s="1852" t="s">
        <v>3044</v>
      </c>
      <c r="F365" s="1852" t="s">
        <v>2311</v>
      </c>
      <c r="G365" s="1852" t="s">
        <v>28</v>
      </c>
      <c r="H365" s="1852" t="s">
        <v>28</v>
      </c>
      <c r="I365" s="1852" t="s">
        <v>914</v>
      </c>
    </row>
    <row customHeight="1" ht="11.25">
      <c r="A366" s="1852" t="s">
        <v>2269</v>
      </c>
      <c r="B366" s="1852" t="s">
        <v>16</v>
      </c>
      <c r="C366" s="1852" t="s">
        <v>2940</v>
      </c>
      <c r="D366" s="1852" t="s">
        <v>2941</v>
      </c>
      <c r="E366" s="1852" t="s">
        <v>2942</v>
      </c>
      <c r="F366" s="1852" t="s">
        <v>2354</v>
      </c>
      <c r="G366" s="1852" t="s">
        <v>28</v>
      </c>
      <c r="H366" s="1852" t="s">
        <v>28</v>
      </c>
      <c r="I366" s="1852" t="s">
        <v>914</v>
      </c>
    </row>
    <row customHeight="1" ht="11.25">
      <c r="A367" s="1852" t="s">
        <v>2269</v>
      </c>
      <c r="B367" s="1852" t="s">
        <v>16</v>
      </c>
      <c r="C367" s="1852" t="s">
        <v>2617</v>
      </c>
      <c r="D367" s="1852" t="s">
        <v>2618</v>
      </c>
      <c r="E367" s="1852" t="s">
        <v>2619</v>
      </c>
      <c r="F367" s="1852" t="s">
        <v>2520</v>
      </c>
      <c r="G367" s="1852" t="s">
        <v>2620</v>
      </c>
      <c r="H367" s="1852" t="s">
        <v>28</v>
      </c>
      <c r="I367" s="1852" t="s">
        <v>914</v>
      </c>
    </row>
    <row customHeight="1" ht="11.25">
      <c r="A368" s="1852" t="s">
        <v>2269</v>
      </c>
      <c r="B368" s="1852" t="s">
        <v>16</v>
      </c>
      <c r="C368" s="1852" t="s">
        <v>2951</v>
      </c>
      <c r="D368" s="1852" t="s">
        <v>2952</v>
      </c>
      <c r="E368" s="1852" t="s">
        <v>2953</v>
      </c>
      <c r="F368" s="1852" t="s">
        <v>2311</v>
      </c>
      <c r="G368" s="1852" t="s">
        <v>2954</v>
      </c>
      <c r="H368" s="1852" t="s">
        <v>28</v>
      </c>
      <c r="I368" s="1852" t="s">
        <v>914</v>
      </c>
    </row>
    <row customHeight="1" ht="11.25">
      <c r="A369" s="1852" t="s">
        <v>2269</v>
      </c>
      <c r="B369" s="1852" t="s">
        <v>16</v>
      </c>
      <c r="C369" s="1852" t="s">
        <v>2633</v>
      </c>
      <c r="D369" s="1852" t="s">
        <v>2634</v>
      </c>
      <c r="E369" s="1852" t="s">
        <v>2635</v>
      </c>
      <c r="F369" s="1852" t="s">
        <v>2416</v>
      </c>
      <c r="G369" s="1852" t="s">
        <v>28</v>
      </c>
      <c r="H369" s="1852" t="s">
        <v>28</v>
      </c>
      <c r="I369" s="1852" t="s">
        <v>914</v>
      </c>
    </row>
    <row customHeight="1" ht="11.25">
      <c r="A370" s="1852" t="s">
        <v>2269</v>
      </c>
      <c r="B370" s="1852" t="s">
        <v>16</v>
      </c>
      <c r="C370" s="1852" t="s">
        <v>2636</v>
      </c>
      <c r="D370" s="1852" t="s">
        <v>2637</v>
      </c>
      <c r="E370" s="1852" t="s">
        <v>2638</v>
      </c>
      <c r="F370" s="1852" t="s">
        <v>2311</v>
      </c>
      <c r="G370" s="1852" t="s">
        <v>2639</v>
      </c>
      <c r="H370" s="1852" t="s">
        <v>28</v>
      </c>
      <c r="I370" s="1852" t="s">
        <v>914</v>
      </c>
    </row>
    <row customHeight="1" ht="11.25">
      <c r="A371" s="1852" t="s">
        <v>2269</v>
      </c>
      <c r="B371" s="1852" t="s">
        <v>16</v>
      </c>
      <c r="C371" s="1852" t="s">
        <v>2651</v>
      </c>
      <c r="D371" s="1852" t="s">
        <v>2648</v>
      </c>
      <c r="E371" s="1852" t="s">
        <v>2649</v>
      </c>
      <c r="F371" s="1852" t="s">
        <v>2292</v>
      </c>
      <c r="G371" s="1852" t="s">
        <v>28</v>
      </c>
      <c r="H371" s="1852" t="s">
        <v>28</v>
      </c>
      <c r="I371" s="1852" t="s">
        <v>914</v>
      </c>
    </row>
    <row customHeight="1" ht="11.25">
      <c r="A372" s="1852" t="s">
        <v>2269</v>
      </c>
      <c r="B372" s="1852" t="s">
        <v>16</v>
      </c>
      <c r="C372" s="1852" t="s">
        <v>2958</v>
      </c>
      <c r="D372" s="1852" t="s">
        <v>2959</v>
      </c>
      <c r="E372" s="1852" t="s">
        <v>2960</v>
      </c>
      <c r="F372" s="1852" t="s">
        <v>2311</v>
      </c>
      <c r="G372" s="1852" t="s">
        <v>2961</v>
      </c>
      <c r="H372" s="1852" t="s">
        <v>28</v>
      </c>
      <c r="I372" s="1852" t="s">
        <v>914</v>
      </c>
    </row>
    <row customHeight="1" ht="11.25">
      <c r="A373" s="1852" t="s">
        <v>2269</v>
      </c>
      <c r="B373" s="1852" t="s">
        <v>16</v>
      </c>
      <c r="C373" s="1852" t="s">
        <v>3045</v>
      </c>
      <c r="D373" s="1852" t="s">
        <v>3046</v>
      </c>
      <c r="E373" s="1852" t="s">
        <v>3047</v>
      </c>
      <c r="F373" s="1852" t="s">
        <v>2311</v>
      </c>
      <c r="G373" s="1852" t="s">
        <v>28</v>
      </c>
      <c r="H373" s="1852" t="s">
        <v>28</v>
      </c>
      <c r="I373" s="1852" t="s">
        <v>914</v>
      </c>
    </row>
    <row customHeight="1" ht="11.25">
      <c r="A374" s="1852" t="s">
        <v>2269</v>
      </c>
      <c r="B374" s="1852" t="s">
        <v>16</v>
      </c>
      <c r="C374" s="1852" t="s">
        <v>3048</v>
      </c>
      <c r="D374" s="1852" t="s">
        <v>3049</v>
      </c>
      <c r="E374" s="1852" t="s">
        <v>3050</v>
      </c>
      <c r="F374" s="1852" t="s">
        <v>2297</v>
      </c>
      <c r="G374" s="1852" t="s">
        <v>3051</v>
      </c>
      <c r="H374" s="1852" t="s">
        <v>28</v>
      </c>
      <c r="I374" s="1852" t="s">
        <v>914</v>
      </c>
    </row>
    <row customHeight="1" ht="11.25">
      <c r="A375" s="1852" t="s">
        <v>2269</v>
      </c>
      <c r="B375" s="1852" t="s">
        <v>16</v>
      </c>
      <c r="C375" s="1852" t="s">
        <v>2747</v>
      </c>
      <c r="D375" s="1852" t="s">
        <v>2748</v>
      </c>
      <c r="E375" s="1852" t="s">
        <v>2749</v>
      </c>
      <c r="F375" s="1852" t="s">
        <v>2333</v>
      </c>
      <c r="G375" s="1852" t="s">
        <v>28</v>
      </c>
      <c r="H375" s="1852" t="s">
        <v>28</v>
      </c>
      <c r="I375" s="1852" t="s">
        <v>914</v>
      </c>
    </row>
    <row customHeight="1" ht="11.25">
      <c r="A376" s="1852" t="s">
        <v>2269</v>
      </c>
      <c r="B376" s="1852" t="s">
        <v>16</v>
      </c>
      <c r="C376" s="1852" t="s">
        <v>2754</v>
      </c>
      <c r="D376" s="1852" t="s">
        <v>2755</v>
      </c>
      <c r="E376" s="1852" t="s">
        <v>2756</v>
      </c>
      <c r="F376" s="1852" t="s">
        <v>2282</v>
      </c>
      <c r="G376" s="1852" t="s">
        <v>28</v>
      </c>
      <c r="H376" s="1852" t="s">
        <v>28</v>
      </c>
      <c r="I376" s="1852" t="s">
        <v>914</v>
      </c>
    </row>
    <row customHeight="1" ht="11.25">
      <c r="A377" s="1852" t="s">
        <v>2269</v>
      </c>
      <c r="B377" s="1852" t="s">
        <v>16</v>
      </c>
      <c r="C377" s="1852" t="s">
        <v>2760</v>
      </c>
      <c r="D377" s="1852" t="s">
        <v>2761</v>
      </c>
      <c r="E377" s="1852" t="s">
        <v>2762</v>
      </c>
      <c r="F377" s="1852" t="s">
        <v>2763</v>
      </c>
      <c r="G377" s="1852" t="s">
        <v>2764</v>
      </c>
      <c r="H377" s="1852" t="s">
        <v>28</v>
      </c>
      <c r="I377" s="1852" t="s">
        <v>914</v>
      </c>
    </row>
    <row customHeight="1" ht="11.25">
      <c r="A378" s="1852" t="s">
        <v>2269</v>
      </c>
      <c r="B378" s="1852" t="s">
        <v>16</v>
      </c>
      <c r="C378" s="1852" t="s">
        <v>2962</v>
      </c>
      <c r="D378" s="1852" t="s">
        <v>2963</v>
      </c>
      <c r="E378" s="1852" t="s">
        <v>2964</v>
      </c>
      <c r="F378" s="1852" t="s">
        <v>2297</v>
      </c>
      <c r="G378" s="1852" t="s">
        <v>2965</v>
      </c>
      <c r="H378" s="1852" t="s">
        <v>28</v>
      </c>
      <c r="I378" s="1852" t="s">
        <v>914</v>
      </c>
    </row>
    <row customHeight="1" ht="11.25">
      <c r="A379" s="1852" t="s">
        <v>2269</v>
      </c>
      <c r="B379" s="1852" t="s">
        <v>16</v>
      </c>
      <c r="C379" s="1852" t="s">
        <v>2787</v>
      </c>
      <c r="D379" s="1852" t="s">
        <v>2788</v>
      </c>
      <c r="E379" s="1852" t="s">
        <v>2789</v>
      </c>
      <c r="F379" s="1852" t="s">
        <v>2297</v>
      </c>
      <c r="G379" s="1852" t="s">
        <v>28</v>
      </c>
      <c r="H379" s="1852" t="s">
        <v>28</v>
      </c>
      <c r="I379" s="1852" t="s">
        <v>914</v>
      </c>
    </row>
    <row customHeight="1" ht="11.25">
      <c r="A380" s="1852" t="s">
        <v>2269</v>
      </c>
      <c r="B380" s="1852" t="s">
        <v>16</v>
      </c>
      <c r="C380" s="1852" t="s">
        <v>2807</v>
      </c>
      <c r="D380" s="1852" t="s">
        <v>2808</v>
      </c>
      <c r="E380" s="1852" t="s">
        <v>2809</v>
      </c>
      <c r="F380" s="1852" t="s">
        <v>2311</v>
      </c>
      <c r="G380" s="1852" t="s">
        <v>28</v>
      </c>
      <c r="H380" s="1852" t="s">
        <v>28</v>
      </c>
      <c r="I380" s="1852" t="s">
        <v>914</v>
      </c>
    </row>
    <row customHeight="1" ht="11.25">
      <c r="A381" s="1852" t="s">
        <v>2269</v>
      </c>
      <c r="B381" s="1852" t="s">
        <v>16</v>
      </c>
      <c r="C381" s="1852" t="s">
        <v>3016</v>
      </c>
      <c r="D381" s="1852" t="s">
        <v>3017</v>
      </c>
      <c r="E381" s="1852" t="s">
        <v>3018</v>
      </c>
      <c r="F381" s="1852" t="s">
        <v>2482</v>
      </c>
      <c r="G381" s="1852" t="s">
        <v>28</v>
      </c>
      <c r="H381" s="1852" t="s">
        <v>28</v>
      </c>
      <c r="I381" s="1852" t="s">
        <v>914</v>
      </c>
    </row>
    <row customHeight="1" ht="11.25">
      <c r="A382" s="1852" t="s">
        <v>2269</v>
      </c>
      <c r="B382" s="1852" t="s">
        <v>16</v>
      </c>
      <c r="C382" s="1852" t="s">
        <v>3026</v>
      </c>
      <c r="D382" s="1852" t="s">
        <v>3027</v>
      </c>
      <c r="E382" s="1852" t="s">
        <v>3028</v>
      </c>
      <c r="F382" s="1852" t="s">
        <v>2297</v>
      </c>
      <c r="G382" s="1852" t="s">
        <v>28</v>
      </c>
      <c r="H382" s="1852" t="s">
        <v>28</v>
      </c>
      <c r="I382" s="1852" t="s">
        <v>914</v>
      </c>
    </row>
    <row customHeight="1" ht="11.25">
      <c r="A383" s="1852" t="s">
        <v>2269</v>
      </c>
      <c r="B383" s="1852" t="s">
        <v>16</v>
      </c>
      <c r="C383" s="1852" t="s">
        <v>3029</v>
      </c>
      <c r="D383" s="1852" t="s">
        <v>3030</v>
      </c>
      <c r="E383" s="1852" t="s">
        <v>3031</v>
      </c>
      <c r="F383" s="1852" t="s">
        <v>3032</v>
      </c>
      <c r="G383" s="1852" t="s">
        <v>3033</v>
      </c>
      <c r="H383" s="1852" t="s">
        <v>28</v>
      </c>
      <c r="I383" s="1852" t="s">
        <v>914</v>
      </c>
    </row>
    <row customHeight="1" ht="11.25">
      <c r="A384" s="1852" t="s">
        <v>2269</v>
      </c>
      <c r="B384" s="1852" t="s">
        <v>16</v>
      </c>
      <c r="C384" s="1852" t="s">
        <v>2825</v>
      </c>
      <c r="D384" s="1852" t="s">
        <v>2826</v>
      </c>
      <c r="E384" s="1852" t="s">
        <v>2827</v>
      </c>
      <c r="F384" s="1852" t="s">
        <v>2828</v>
      </c>
      <c r="G384" s="1852" t="s">
        <v>28</v>
      </c>
      <c r="H384" s="1852" t="s">
        <v>28</v>
      </c>
      <c r="I384" s="1852" t="s">
        <v>914</v>
      </c>
    </row>
    <row customHeight="1" ht="11.25">
      <c r="A385" s="1852" t="s">
        <v>2269</v>
      </c>
      <c r="B385" s="1852" t="s">
        <v>16</v>
      </c>
      <c r="C385" s="1852" t="s">
        <v>2832</v>
      </c>
      <c r="D385" s="1852" t="s">
        <v>2833</v>
      </c>
      <c r="E385" s="1852" t="s">
        <v>2834</v>
      </c>
      <c r="F385" s="1852" t="s">
        <v>2515</v>
      </c>
      <c r="G385" s="1852" t="s">
        <v>2835</v>
      </c>
      <c r="H385" s="1852" t="s">
        <v>28</v>
      </c>
      <c r="I385" s="1852" t="s">
        <v>914</v>
      </c>
    </row>
    <row customHeight="1" ht="11.25">
      <c r="A386" s="1852" t="s">
        <v>2269</v>
      </c>
      <c r="B386" s="1852" t="s">
        <v>16</v>
      </c>
      <c r="C386" s="1852" t="s">
        <v>2839</v>
      </c>
      <c r="D386" s="1852" t="s">
        <v>2840</v>
      </c>
      <c r="E386" s="1852" t="s">
        <v>2841</v>
      </c>
      <c r="F386" s="1852" t="s">
        <v>2842</v>
      </c>
      <c r="G386" s="1852" t="s">
        <v>28</v>
      </c>
      <c r="H386" s="1852" t="s">
        <v>28</v>
      </c>
      <c r="I386" s="1852" t="s">
        <v>914</v>
      </c>
    </row>
    <row customHeight="1" ht="11.25">
      <c r="A387" s="1852" t="s">
        <v>2269</v>
      </c>
      <c r="B387" s="1852" t="s">
        <v>16</v>
      </c>
      <c r="C387" s="1852" t="s">
        <v>28</v>
      </c>
      <c r="D387" s="1852" t="s">
        <v>2318</v>
      </c>
      <c r="E387" s="1852" t="s">
        <v>2319</v>
      </c>
      <c r="F387" s="1852" t="s">
        <v>2311</v>
      </c>
      <c r="G387" s="1852" t="s">
        <v>28</v>
      </c>
      <c r="H387" s="1852" t="s">
        <v>28</v>
      </c>
      <c r="I387" s="1852" t="s">
        <v>1640</v>
      </c>
    </row>
    <row customHeight="1" ht="11.25">
      <c r="A388" s="1852" t="s">
        <v>2269</v>
      </c>
      <c r="B388" s="1852" t="s">
        <v>16</v>
      </c>
      <c r="C388" s="1852" t="s">
        <v>3052</v>
      </c>
      <c r="D388" s="1852" t="s">
        <v>3053</v>
      </c>
      <c r="E388" s="1852" t="s">
        <v>3054</v>
      </c>
      <c r="F388" s="1852" t="s">
        <v>2287</v>
      </c>
      <c r="G388" s="1852" t="s">
        <v>3055</v>
      </c>
      <c r="H388" s="1852" t="s">
        <v>28</v>
      </c>
      <c r="I388" s="1852" t="s">
        <v>1640</v>
      </c>
    </row>
    <row customHeight="1" ht="11.25">
      <c r="A389" s="1852" t="s">
        <v>2269</v>
      </c>
      <c r="B389" s="1852" t="s">
        <v>16</v>
      </c>
      <c r="C389" s="1852" t="s">
        <v>2413</v>
      </c>
      <c r="D389" s="1852" t="s">
        <v>2414</v>
      </c>
      <c r="E389" s="1852" t="s">
        <v>2415</v>
      </c>
      <c r="F389" s="1852" t="s">
        <v>2416</v>
      </c>
      <c r="G389" s="1852" t="s">
        <v>2417</v>
      </c>
      <c r="H389" s="1852" t="s">
        <v>28</v>
      </c>
      <c r="I389" s="1852" t="s">
        <v>1640</v>
      </c>
    </row>
    <row customHeight="1" ht="11.25">
      <c r="A390" s="1852" t="s">
        <v>2269</v>
      </c>
      <c r="B390" s="1852" t="s">
        <v>16</v>
      </c>
      <c r="C390" s="1852" t="s">
        <v>3056</v>
      </c>
      <c r="D390" s="1852" t="s">
        <v>3057</v>
      </c>
      <c r="E390" s="1852" t="s">
        <v>3058</v>
      </c>
      <c r="F390" s="1852" t="s">
        <v>53</v>
      </c>
      <c r="G390" s="1852" t="s">
        <v>28</v>
      </c>
      <c r="H390" s="1852" t="s">
        <v>3059</v>
      </c>
      <c r="I390" s="1852" t="s">
        <v>1640</v>
      </c>
    </row>
    <row customHeight="1" ht="11.25">
      <c r="A391" s="1852" t="s">
        <v>2269</v>
      </c>
      <c r="B391" s="1852" t="s">
        <v>16</v>
      </c>
      <c r="C391" s="1852" t="s">
        <v>2895</v>
      </c>
      <c r="D391" s="1852" t="s">
        <v>2896</v>
      </c>
      <c r="E391" s="1852" t="s">
        <v>2897</v>
      </c>
      <c r="F391" s="1852" t="s">
        <v>2529</v>
      </c>
      <c r="G391" s="1852" t="s">
        <v>28</v>
      </c>
      <c r="H391" s="1852" t="s">
        <v>28</v>
      </c>
      <c r="I391" s="1852" t="s">
        <v>1640</v>
      </c>
    </row>
    <row customHeight="1" ht="11.25">
      <c r="A392" s="1852" t="s">
        <v>2269</v>
      </c>
      <c r="B392" s="1852" t="s">
        <v>16</v>
      </c>
      <c r="C392" s="1852" t="s">
        <v>3060</v>
      </c>
      <c r="D392" s="1852" t="s">
        <v>3061</v>
      </c>
      <c r="E392" s="1852" t="s">
        <v>3062</v>
      </c>
      <c r="F392" s="1852" t="s">
        <v>3010</v>
      </c>
      <c r="G392" s="1852" t="s">
        <v>3063</v>
      </c>
      <c r="H392" s="1852" t="s">
        <v>28</v>
      </c>
      <c r="I392" s="1852" t="s">
        <v>1640</v>
      </c>
    </row>
    <row customHeight="1" ht="11.25">
      <c r="A393" s="1852" t="s">
        <v>2269</v>
      </c>
      <c r="B393" s="1852" t="s">
        <v>16</v>
      </c>
      <c r="C393" s="1852" t="s">
        <v>3064</v>
      </c>
      <c r="D393" s="1852" t="s">
        <v>3065</v>
      </c>
      <c r="E393" s="1852" t="s">
        <v>3066</v>
      </c>
      <c r="F393" s="1852" t="s">
        <v>2372</v>
      </c>
      <c r="G393" s="1852" t="s">
        <v>28</v>
      </c>
      <c r="H393" s="1852" t="s">
        <v>28</v>
      </c>
      <c r="I393" s="1852" t="s">
        <v>1640</v>
      </c>
    </row>
    <row customHeight="1" ht="11.25">
      <c r="A394" s="1852" t="s">
        <v>2269</v>
      </c>
      <c r="B394" s="1852" t="s">
        <v>16</v>
      </c>
      <c r="C394" s="1852" t="s">
        <v>3067</v>
      </c>
      <c r="D394" s="1852" t="s">
        <v>3068</v>
      </c>
      <c r="E394" s="1852" t="s">
        <v>3069</v>
      </c>
      <c r="F394" s="1852" t="s">
        <v>2311</v>
      </c>
      <c r="G394" s="1852" t="s">
        <v>3070</v>
      </c>
      <c r="H394" s="1852" t="s">
        <v>28</v>
      </c>
      <c r="I394" s="1852" t="s">
        <v>1640</v>
      </c>
    </row>
    <row customHeight="1" ht="11.25">
      <c r="A395" s="1852" t="s">
        <v>2269</v>
      </c>
      <c r="B395" s="1852" t="s">
        <v>16</v>
      </c>
      <c r="C395" s="1852" t="s">
        <v>3071</v>
      </c>
      <c r="D395" s="1852" t="s">
        <v>3072</v>
      </c>
      <c r="E395" s="1852" t="s">
        <v>3073</v>
      </c>
      <c r="F395" s="1852" t="s">
        <v>2372</v>
      </c>
      <c r="G395" s="1852" t="s">
        <v>28</v>
      </c>
      <c r="H395" s="1852" t="s">
        <v>28</v>
      </c>
      <c r="I395" s="1852" t="s">
        <v>1640</v>
      </c>
    </row>
    <row customHeight="1" ht="11.25">
      <c r="A396" s="1852" t="s">
        <v>2269</v>
      </c>
      <c r="B396" s="1852" t="s">
        <v>16</v>
      </c>
      <c r="C396" s="1852" t="s">
        <v>2633</v>
      </c>
      <c r="D396" s="1852" t="s">
        <v>2634</v>
      </c>
      <c r="E396" s="1852" t="s">
        <v>2635</v>
      </c>
      <c r="F396" s="1852" t="s">
        <v>2416</v>
      </c>
      <c r="G396" s="1852" t="s">
        <v>28</v>
      </c>
      <c r="H396" s="1852" t="s">
        <v>28</v>
      </c>
      <c r="I396" s="1852" t="s">
        <v>1640</v>
      </c>
    </row>
    <row customHeight="1" ht="11.25">
      <c r="A397" s="1852" t="s">
        <v>2269</v>
      </c>
      <c r="B397" s="1852" t="s">
        <v>16</v>
      </c>
      <c r="C397" s="1852" t="s">
        <v>3074</v>
      </c>
      <c r="D397" s="1852" t="s">
        <v>3075</v>
      </c>
      <c r="E397" s="1852" t="s">
        <v>3076</v>
      </c>
      <c r="F397" s="1852" t="s">
        <v>2278</v>
      </c>
      <c r="G397" s="1852" t="s">
        <v>3077</v>
      </c>
      <c r="H397" s="1852" t="s">
        <v>28</v>
      </c>
      <c r="I397" s="1852" t="s">
        <v>1640</v>
      </c>
    </row>
    <row customHeight="1" ht="11.25">
      <c r="A398" s="1852" t="s">
        <v>2269</v>
      </c>
      <c r="B398" s="1852" t="s">
        <v>16</v>
      </c>
      <c r="C398" s="1852" t="s">
        <v>3078</v>
      </c>
      <c r="D398" s="1852" t="s">
        <v>3079</v>
      </c>
      <c r="E398" s="1852" t="s">
        <v>3080</v>
      </c>
      <c r="F398" s="1852" t="s">
        <v>2524</v>
      </c>
      <c r="G398" s="1852" t="s">
        <v>3081</v>
      </c>
      <c r="H398" s="1852" t="s">
        <v>28</v>
      </c>
      <c r="I398" s="1852" t="s">
        <v>1640</v>
      </c>
    </row>
    <row customHeight="1" ht="11.25">
      <c r="A399" s="1852" t="s">
        <v>2269</v>
      </c>
      <c r="B399" s="1852" t="s">
        <v>16</v>
      </c>
      <c r="C399" s="1852" t="s">
        <v>3082</v>
      </c>
      <c r="D399" s="1852" t="s">
        <v>3083</v>
      </c>
      <c r="E399" s="1852" t="s">
        <v>3084</v>
      </c>
      <c r="F399" s="1852" t="s">
        <v>2311</v>
      </c>
      <c r="G399" s="1852" t="s">
        <v>3085</v>
      </c>
      <c r="H399" s="1852" t="s">
        <v>28</v>
      </c>
      <c r="I399" s="1852" t="s">
        <v>1640</v>
      </c>
    </row>
    <row customHeight="1" ht="11.25">
      <c r="A400" s="1852" t="s">
        <v>2269</v>
      </c>
      <c r="B400" s="1852" t="s">
        <v>16</v>
      </c>
      <c r="C400" s="1852" t="s">
        <v>3086</v>
      </c>
      <c r="D400" s="1852" t="s">
        <v>3087</v>
      </c>
      <c r="E400" s="1852" t="s">
        <v>3088</v>
      </c>
      <c r="F400" s="1852" t="s">
        <v>2311</v>
      </c>
      <c r="G400" s="1852" t="s">
        <v>28</v>
      </c>
      <c r="H400" s="1852" t="s">
        <v>28</v>
      </c>
      <c r="I400" s="1852" t="s">
        <v>1640</v>
      </c>
    </row>
    <row customHeight="1" ht="11.25">
      <c r="A401" s="1852" t="s">
        <v>2269</v>
      </c>
      <c r="B401" s="1852" t="s">
        <v>16</v>
      </c>
      <c r="C401" s="1852" t="s">
        <v>3089</v>
      </c>
      <c r="D401" s="1852" t="s">
        <v>3090</v>
      </c>
      <c r="E401" s="1852" t="s">
        <v>3091</v>
      </c>
      <c r="F401" s="1852" t="s">
        <v>2287</v>
      </c>
      <c r="G401" s="1852" t="s">
        <v>28</v>
      </c>
      <c r="H401" s="1852" t="s">
        <v>28</v>
      </c>
      <c r="I401" s="1852" t="s">
        <v>1640</v>
      </c>
    </row>
    <row customHeight="1" ht="11.25">
      <c r="A402" s="1852" t="s">
        <v>2269</v>
      </c>
      <c r="B402" s="1852" t="s">
        <v>16</v>
      </c>
      <c r="C402" s="1852" t="s">
        <v>3092</v>
      </c>
      <c r="D402" s="1852" t="s">
        <v>3093</v>
      </c>
      <c r="E402" s="1852" t="s">
        <v>3094</v>
      </c>
      <c r="F402" s="1852" t="s">
        <v>53</v>
      </c>
      <c r="G402" s="1852" t="s">
        <v>28</v>
      </c>
      <c r="H402" s="1852" t="s">
        <v>28</v>
      </c>
      <c r="I402" s="1852" t="s">
        <v>1640</v>
      </c>
    </row>
    <row customHeight="1" ht="11.25">
      <c r="A403" s="1852" t="s">
        <v>2269</v>
      </c>
      <c r="B403" s="1852" t="s">
        <v>16</v>
      </c>
      <c r="C403" s="1852" t="s">
        <v>3095</v>
      </c>
      <c r="D403" s="1852" t="s">
        <v>3096</v>
      </c>
      <c r="E403" s="1852" t="s">
        <v>3097</v>
      </c>
      <c r="F403" s="1852" t="s">
        <v>3098</v>
      </c>
      <c r="G403" s="1852" t="s">
        <v>28</v>
      </c>
      <c r="H403" s="1852" t="s">
        <v>28</v>
      </c>
      <c r="I403" s="1852" t="s">
        <v>1640</v>
      </c>
    </row>
    <row customHeight="1" ht="11.25">
      <c r="A404" s="1852" t="s">
        <v>2269</v>
      </c>
      <c r="B404" s="1852" t="s">
        <v>16</v>
      </c>
      <c r="C404" s="1852" t="s">
        <v>3099</v>
      </c>
      <c r="D404" s="1852" t="s">
        <v>3100</v>
      </c>
      <c r="E404" s="1852" t="s">
        <v>3101</v>
      </c>
      <c r="F404" s="1852" t="s">
        <v>2311</v>
      </c>
      <c r="G404" s="1852" t="s">
        <v>28</v>
      </c>
      <c r="H404" s="1852" t="s">
        <v>28</v>
      </c>
      <c r="I404" s="1852" t="s">
        <v>1640</v>
      </c>
    </row>
    <row customHeight="1" ht="11.25">
      <c r="A405" s="1852" t="s">
        <v>2269</v>
      </c>
      <c r="B405" s="1852" t="s">
        <v>16</v>
      </c>
      <c r="C405" s="1852" t="s">
        <v>3102</v>
      </c>
      <c r="D405" s="1852" t="s">
        <v>3103</v>
      </c>
      <c r="E405" s="1852" t="s">
        <v>3104</v>
      </c>
      <c r="F405" s="1852" t="s">
        <v>583</v>
      </c>
      <c r="G405" s="1852" t="s">
        <v>28</v>
      </c>
      <c r="H405" s="1852" t="s">
        <v>28</v>
      </c>
      <c r="I405" s="1852" t="s">
        <v>1640</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2E3ED1-FE4C-1286-E599-0.B0238CC6}" mc:Ignorable="x14ac xr xr2 xr3">
  <sheetPr>
    <tabColor rgb="FFFFCC99"/>
  </sheetPr>
  <dimension ref="A1:G144"/>
  <sheetViews>
    <sheetView topLeftCell="A1" showGridLines="0" workbookViewId="0">
      <selection activeCell="A1" sqref="A1"/>
    </sheetView>
  </sheetViews>
  <sheetFormatPr customHeight="1" defaultRowHeight="11.25"/>
  <cols>
    <col min="1" max="1" style="1852" width="9.140625"/>
  </cols>
  <sheetData>
    <row customHeight="1" ht="11.25">
      <c r="A1" s="375" t="s">
        <v>3105</v>
      </c>
      <c r="B1" s="66" t="s">
        <v>3106</v>
      </c>
      <c r="C1" s="66" t="s">
        <v>3107</v>
      </c>
      <c r="D1" s="66" t="s">
        <v>3108</v>
      </c>
      <c r="E1" s="64" t="s">
        <v>3109</v>
      </c>
      <c r="F1" s="64" t="s">
        <v>3110</v>
      </c>
      <c r="G1" s="64" t="s">
        <v>3111</v>
      </c>
    </row>
    <row customHeight="1" ht="11.25">
      <c r="A2" s="375" t="s">
        <v>16</v>
      </c>
      <c r="B2" s="0" t="s">
        <v>3112</v>
      </c>
      <c r="C2" s="0" t="s">
        <v>3113</v>
      </c>
      <c r="D2" s="0" t="s">
        <v>3112</v>
      </c>
      <c r="E2" s="0" t="s">
        <v>3113</v>
      </c>
      <c r="F2" s="0" t="s">
        <v>3114</v>
      </c>
      <c r="G2" s="0" t="s">
        <v>111</v>
      </c>
    </row>
    <row customHeight="1" ht="11.25">
      <c r="A3" s="375" t="s">
        <v>16</v>
      </c>
      <c r="B3" s="0" t="s">
        <v>3115</v>
      </c>
      <c r="C3" s="0" t="s">
        <v>3116</v>
      </c>
      <c r="D3" s="0" t="s">
        <v>3115</v>
      </c>
      <c r="E3" s="0" t="s">
        <v>3116</v>
      </c>
      <c r="F3" s="0" t="s">
        <v>3117</v>
      </c>
      <c r="G3" s="0" t="s">
        <v>112</v>
      </c>
    </row>
    <row customHeight="1" ht="11.25">
      <c r="A4" s="375" t="s">
        <v>16</v>
      </c>
      <c r="B4" s="0" t="s">
        <v>3115</v>
      </c>
      <c r="C4" s="0" t="s">
        <v>3116</v>
      </c>
      <c r="D4" s="0" t="s">
        <v>3118</v>
      </c>
      <c r="E4" s="0" t="s">
        <v>3119</v>
      </c>
      <c r="F4" s="0" t="s">
        <v>3120</v>
      </c>
      <c r="G4" s="0" t="s">
        <v>92</v>
      </c>
    </row>
    <row customHeight="1" ht="11.25">
      <c r="A5" s="375" t="s">
        <v>16</v>
      </c>
      <c r="B5" s="0" t="s">
        <v>3115</v>
      </c>
      <c r="C5" s="0" t="s">
        <v>3116</v>
      </c>
      <c r="D5" s="0" t="s">
        <v>3121</v>
      </c>
      <c r="E5" s="0" t="s">
        <v>3122</v>
      </c>
      <c r="F5" s="0" t="s">
        <v>3120</v>
      </c>
      <c r="G5" s="0" t="s">
        <v>93</v>
      </c>
    </row>
    <row customHeight="1" ht="11.25">
      <c r="A6" s="375" t="s">
        <v>16</v>
      </c>
      <c r="B6" s="0" t="s">
        <v>3115</v>
      </c>
      <c r="C6" s="0" t="s">
        <v>3116</v>
      </c>
      <c r="D6" s="0" t="s">
        <v>3123</v>
      </c>
      <c r="E6" s="0" t="s">
        <v>3124</v>
      </c>
      <c r="F6" s="0" t="s">
        <v>3120</v>
      </c>
      <c r="G6" s="0" t="s">
        <v>113</v>
      </c>
    </row>
    <row customHeight="1" ht="11.25">
      <c r="A7" s="375" t="s">
        <v>16</v>
      </c>
      <c r="B7" s="0" t="s">
        <v>3115</v>
      </c>
      <c r="C7" s="0" t="s">
        <v>3116</v>
      </c>
      <c r="D7" s="0" t="s">
        <v>3125</v>
      </c>
      <c r="E7" s="0" t="s">
        <v>3126</v>
      </c>
      <c r="F7" s="0" t="s">
        <v>3120</v>
      </c>
      <c r="G7" s="0" t="s">
        <v>94</v>
      </c>
    </row>
    <row customHeight="1" ht="11.25">
      <c r="A8" s="375" t="s">
        <v>16</v>
      </c>
      <c r="B8" s="0" t="s">
        <v>3127</v>
      </c>
      <c r="C8" s="0" t="s">
        <v>3128</v>
      </c>
      <c r="D8" s="0" t="s">
        <v>3127</v>
      </c>
      <c r="E8" s="0" t="s">
        <v>3128</v>
      </c>
      <c r="F8" s="0" t="s">
        <v>3114</v>
      </c>
      <c r="G8" s="0" t="s">
        <v>95</v>
      </c>
    </row>
    <row customHeight="1" ht="11.25">
      <c r="A9" s="375" t="s">
        <v>16</v>
      </c>
      <c r="B9" s="0" t="s">
        <v>3129</v>
      </c>
      <c r="C9" s="0" t="s">
        <v>3130</v>
      </c>
      <c r="D9" s="0" t="s">
        <v>3131</v>
      </c>
      <c r="E9" s="0" t="s">
        <v>3132</v>
      </c>
      <c r="F9" s="0" t="s">
        <v>3120</v>
      </c>
      <c r="G9" s="0" t="s">
        <v>114</v>
      </c>
    </row>
    <row customHeight="1" ht="11.25">
      <c r="A10" s="375" t="s">
        <v>16</v>
      </c>
      <c r="B10" s="0" t="s">
        <v>3129</v>
      </c>
      <c r="C10" s="0" t="s">
        <v>3130</v>
      </c>
      <c r="D10" s="0" t="s">
        <v>3129</v>
      </c>
      <c r="E10" s="0" t="s">
        <v>3130</v>
      </c>
      <c r="F10" s="0" t="s">
        <v>3117</v>
      </c>
      <c r="G10" s="0" t="s">
        <v>150</v>
      </c>
    </row>
    <row customHeight="1" ht="11.25">
      <c r="A11" s="375" t="s">
        <v>16</v>
      </c>
      <c r="B11" s="0" t="s">
        <v>3129</v>
      </c>
      <c r="C11" s="0" t="s">
        <v>3130</v>
      </c>
      <c r="D11" s="0" t="s">
        <v>3133</v>
      </c>
      <c r="E11" s="0" t="s">
        <v>3134</v>
      </c>
      <c r="F11" s="0" t="s">
        <v>3120</v>
      </c>
      <c r="G11" s="0" t="s">
        <v>151</v>
      </c>
    </row>
    <row customHeight="1" ht="11.25">
      <c r="A12" s="375" t="s">
        <v>16</v>
      </c>
      <c r="B12" s="0" t="s">
        <v>3129</v>
      </c>
      <c r="C12" s="0" t="s">
        <v>3130</v>
      </c>
      <c r="D12" s="0" t="s">
        <v>3135</v>
      </c>
      <c r="E12" s="0" t="s">
        <v>3136</v>
      </c>
      <c r="F12" s="0" t="s">
        <v>3137</v>
      </c>
      <c r="G12" s="0" t="s">
        <v>152</v>
      </c>
    </row>
    <row customHeight="1" ht="11.25">
      <c r="A13" s="375" t="s">
        <v>16</v>
      </c>
      <c r="B13" s="0" t="s">
        <v>3138</v>
      </c>
      <c r="C13" s="0" t="s">
        <v>3139</v>
      </c>
      <c r="D13" s="0" t="s">
        <v>3138</v>
      </c>
      <c r="E13" s="0" t="s">
        <v>3139</v>
      </c>
      <c r="F13" s="0" t="s">
        <v>3114</v>
      </c>
      <c r="G13" s="0" t="s">
        <v>153</v>
      </c>
    </row>
    <row customHeight="1" ht="11.25">
      <c r="A14" s="375" t="s">
        <v>16</v>
      </c>
      <c r="B14" s="0" t="s">
        <v>3140</v>
      </c>
      <c r="C14" s="0" t="s">
        <v>3141</v>
      </c>
      <c r="D14" s="0" t="s">
        <v>3142</v>
      </c>
      <c r="E14" s="0" t="s">
        <v>3143</v>
      </c>
      <c r="F14" s="0" t="s">
        <v>3120</v>
      </c>
      <c r="G14" s="0" t="s">
        <v>154</v>
      </c>
    </row>
    <row customHeight="1" ht="11.25">
      <c r="A15" s="375" t="s">
        <v>16</v>
      </c>
      <c r="B15" s="0" t="s">
        <v>3140</v>
      </c>
      <c r="C15" s="0" t="s">
        <v>3141</v>
      </c>
      <c r="D15" s="0" t="s">
        <v>3144</v>
      </c>
      <c r="E15" s="0" t="s">
        <v>3145</v>
      </c>
      <c r="F15" s="0" t="s">
        <v>3120</v>
      </c>
      <c r="G15" s="0" t="s">
        <v>155</v>
      </c>
    </row>
    <row customHeight="1" ht="11.25">
      <c r="A16" s="375" t="s">
        <v>16</v>
      </c>
      <c r="B16" s="0" t="s">
        <v>3140</v>
      </c>
      <c r="C16" s="0" t="s">
        <v>3141</v>
      </c>
      <c r="D16" s="0" t="s">
        <v>3140</v>
      </c>
      <c r="E16" s="0" t="s">
        <v>3141</v>
      </c>
      <c r="F16" s="0" t="s">
        <v>3117</v>
      </c>
      <c r="G16" s="0" t="s">
        <v>1484</v>
      </c>
    </row>
    <row customHeight="1" ht="11.25">
      <c r="A17" s="375" t="s">
        <v>16</v>
      </c>
      <c r="B17" s="0" t="s">
        <v>3140</v>
      </c>
      <c r="C17" s="0" t="s">
        <v>3141</v>
      </c>
      <c r="D17" s="0" t="s">
        <v>3146</v>
      </c>
      <c r="E17" s="0" t="s">
        <v>3147</v>
      </c>
      <c r="F17" s="0" t="s">
        <v>3120</v>
      </c>
      <c r="G17" s="0" t="s">
        <v>1490</v>
      </c>
    </row>
    <row customHeight="1" ht="11.25">
      <c r="A18" s="375" t="s">
        <v>16</v>
      </c>
      <c r="B18" s="0" t="s">
        <v>3140</v>
      </c>
      <c r="C18" s="0" t="s">
        <v>3141</v>
      </c>
      <c r="D18" s="0" t="s">
        <v>3148</v>
      </c>
      <c r="E18" s="0" t="s">
        <v>3149</v>
      </c>
      <c r="F18" s="0" t="s">
        <v>3120</v>
      </c>
      <c r="G18" s="0" t="s">
        <v>1502</v>
      </c>
    </row>
    <row customHeight="1" ht="11.25">
      <c r="A19" s="375" t="s">
        <v>16</v>
      </c>
      <c r="B19" s="0" t="s">
        <v>3140</v>
      </c>
      <c r="C19" s="0" t="s">
        <v>3141</v>
      </c>
      <c r="D19" s="0" t="s">
        <v>3150</v>
      </c>
      <c r="E19" s="0" t="s">
        <v>3151</v>
      </c>
      <c r="F19" s="0" t="s">
        <v>3120</v>
      </c>
      <c r="G19" s="0" t="s">
        <v>1516</v>
      </c>
    </row>
    <row customHeight="1" ht="11.25">
      <c r="A20" s="375" t="s">
        <v>16</v>
      </c>
      <c r="B20" s="0" t="s">
        <v>3152</v>
      </c>
      <c r="C20" s="0" t="s">
        <v>3153</v>
      </c>
      <c r="D20" s="0" t="s">
        <v>3152</v>
      </c>
      <c r="E20" s="0" t="s">
        <v>3153</v>
      </c>
      <c r="F20" s="0" t="s">
        <v>3114</v>
      </c>
      <c r="G20" s="0" t="s">
        <v>1528</v>
      </c>
    </row>
    <row customHeight="1" ht="11.25">
      <c r="A21" s="375" t="s">
        <v>16</v>
      </c>
      <c r="B21" s="0" t="s">
        <v>3154</v>
      </c>
      <c r="C21" s="0" t="s">
        <v>3155</v>
      </c>
      <c r="D21" s="0" t="s">
        <v>3156</v>
      </c>
      <c r="E21" s="0" t="s">
        <v>3157</v>
      </c>
      <c r="F21" s="0" t="s">
        <v>3120</v>
      </c>
      <c r="G21" s="0" t="s">
        <v>1537</v>
      </c>
    </row>
    <row customHeight="1" ht="11.25">
      <c r="A22" s="375" t="s">
        <v>16</v>
      </c>
      <c r="B22" s="0" t="s">
        <v>3154</v>
      </c>
      <c r="C22" s="0" t="s">
        <v>3155</v>
      </c>
      <c r="D22" s="0" t="s">
        <v>3154</v>
      </c>
      <c r="E22" s="0" t="s">
        <v>3155</v>
      </c>
      <c r="F22" s="0" t="s">
        <v>3117</v>
      </c>
      <c r="G22" s="0" t="s">
        <v>1553</v>
      </c>
    </row>
    <row customHeight="1" ht="11.25">
      <c r="A23" s="375" t="s">
        <v>16</v>
      </c>
      <c r="B23" s="0" t="s">
        <v>3154</v>
      </c>
      <c r="C23" s="0" t="s">
        <v>3155</v>
      </c>
      <c r="D23" s="0" t="s">
        <v>3158</v>
      </c>
      <c r="E23" s="0" t="s">
        <v>3159</v>
      </c>
      <c r="F23" s="0" t="s">
        <v>3120</v>
      </c>
      <c r="G23" s="0" t="s">
        <v>1560</v>
      </c>
    </row>
    <row customHeight="1" ht="11.25">
      <c r="A24" s="375" t="s">
        <v>16</v>
      </c>
      <c r="B24" s="0" t="s">
        <v>3154</v>
      </c>
      <c r="C24" s="0" t="s">
        <v>3155</v>
      </c>
      <c r="D24" s="0" t="s">
        <v>3160</v>
      </c>
      <c r="E24" s="0" t="s">
        <v>3161</v>
      </c>
      <c r="F24" s="0" t="s">
        <v>3120</v>
      </c>
      <c r="G24" s="0" t="s">
        <v>1568</v>
      </c>
    </row>
    <row customHeight="1" ht="11.25">
      <c r="A25" s="375" t="s">
        <v>16</v>
      </c>
      <c r="B25" s="0" t="s">
        <v>3154</v>
      </c>
      <c r="C25" s="0" t="s">
        <v>3155</v>
      </c>
      <c r="D25" s="0" t="s">
        <v>3162</v>
      </c>
      <c r="E25" s="0" t="s">
        <v>3163</v>
      </c>
      <c r="F25" s="0" t="s">
        <v>3120</v>
      </c>
      <c r="G25" s="0" t="s">
        <v>1575</v>
      </c>
    </row>
    <row customHeight="1" ht="11.25">
      <c r="A26" s="375" t="s">
        <v>16</v>
      </c>
      <c r="B26" s="0" t="s">
        <v>3154</v>
      </c>
      <c r="C26" s="0" t="s">
        <v>3155</v>
      </c>
      <c r="D26" s="0" t="s">
        <v>3164</v>
      </c>
      <c r="E26" s="0" t="s">
        <v>3165</v>
      </c>
      <c r="F26" s="0" t="s">
        <v>3120</v>
      </c>
      <c r="G26" s="0" t="s">
        <v>1579</v>
      </c>
    </row>
    <row customHeight="1" ht="11.25">
      <c r="A27" s="375" t="s">
        <v>16</v>
      </c>
      <c r="B27" s="0" t="s">
        <v>3166</v>
      </c>
      <c r="C27" s="0" t="s">
        <v>3167</v>
      </c>
      <c r="D27" s="0" t="s">
        <v>3168</v>
      </c>
      <c r="E27" s="0" t="s">
        <v>3169</v>
      </c>
      <c r="F27" s="0" t="s">
        <v>3120</v>
      </c>
      <c r="G27" s="0" t="s">
        <v>1584</v>
      </c>
    </row>
    <row customHeight="1" ht="11.25">
      <c r="A28" s="375" t="s">
        <v>16</v>
      </c>
      <c r="B28" s="0" t="s">
        <v>3166</v>
      </c>
      <c r="C28" s="0" t="s">
        <v>3167</v>
      </c>
      <c r="D28" s="0" t="s">
        <v>3170</v>
      </c>
      <c r="E28" s="0" t="s">
        <v>3171</v>
      </c>
      <c r="F28" s="0" t="s">
        <v>3120</v>
      </c>
      <c r="G28" s="0" t="s">
        <v>1591</v>
      </c>
    </row>
    <row customHeight="1" ht="11.25">
      <c r="A29" s="375" t="s">
        <v>16</v>
      </c>
      <c r="B29" s="0" t="s">
        <v>3166</v>
      </c>
      <c r="C29" s="0" t="s">
        <v>3167</v>
      </c>
      <c r="D29" s="0" t="s">
        <v>3172</v>
      </c>
      <c r="E29" s="0" t="s">
        <v>3173</v>
      </c>
      <c r="F29" s="0" t="s">
        <v>3120</v>
      </c>
      <c r="G29" s="0" t="s">
        <v>1593</v>
      </c>
    </row>
    <row customHeight="1" ht="11.25">
      <c r="A30" s="375" t="s">
        <v>16</v>
      </c>
      <c r="B30" s="0" t="s">
        <v>3166</v>
      </c>
      <c r="C30" s="0" t="s">
        <v>3167</v>
      </c>
      <c r="D30" s="0" t="s">
        <v>3174</v>
      </c>
      <c r="E30" s="0" t="s">
        <v>3175</v>
      </c>
      <c r="F30" s="0" t="s">
        <v>3176</v>
      </c>
      <c r="G30" s="0" t="s">
        <v>1596</v>
      </c>
    </row>
    <row customHeight="1" ht="11.25">
      <c r="A31" s="375" t="s">
        <v>16</v>
      </c>
      <c r="B31" s="0" t="s">
        <v>3166</v>
      </c>
      <c r="C31" s="0" t="s">
        <v>3167</v>
      </c>
      <c r="D31" s="0" t="s">
        <v>3166</v>
      </c>
      <c r="E31" s="0" t="s">
        <v>3167</v>
      </c>
      <c r="F31" s="0" t="s">
        <v>3117</v>
      </c>
      <c r="G31" s="0" t="s">
        <v>1602</v>
      </c>
    </row>
    <row customHeight="1" ht="11.25">
      <c r="A32" s="375" t="s">
        <v>16</v>
      </c>
      <c r="B32" s="0" t="s">
        <v>3166</v>
      </c>
      <c r="C32" s="0" t="s">
        <v>3167</v>
      </c>
      <c r="D32" s="0" t="s">
        <v>3177</v>
      </c>
      <c r="E32" s="0" t="s">
        <v>3178</v>
      </c>
      <c r="F32" s="0" t="s">
        <v>3120</v>
      </c>
      <c r="G32" s="0" t="s">
        <v>1604</v>
      </c>
    </row>
    <row customHeight="1" ht="11.25">
      <c r="A33" s="375" t="s">
        <v>16</v>
      </c>
      <c r="B33" s="0" t="s">
        <v>3179</v>
      </c>
      <c r="C33" s="0" t="s">
        <v>3180</v>
      </c>
      <c r="D33" s="0" t="s">
        <v>3179</v>
      </c>
      <c r="E33" s="0" t="s">
        <v>3180</v>
      </c>
      <c r="F33" s="0" t="s">
        <v>3114</v>
      </c>
      <c r="G33" s="0" t="s">
        <v>1606</v>
      </c>
    </row>
    <row customHeight="1" ht="11.25">
      <c r="A34" s="375" t="s">
        <v>16</v>
      </c>
      <c r="B34" s="0" t="s">
        <v>3181</v>
      </c>
      <c r="C34" s="0" t="s">
        <v>3182</v>
      </c>
      <c r="D34" s="0" t="s">
        <v>3183</v>
      </c>
      <c r="E34" s="0" t="s">
        <v>3184</v>
      </c>
      <c r="F34" s="0" t="s">
        <v>3120</v>
      </c>
      <c r="G34" s="0" t="s">
        <v>1608</v>
      </c>
    </row>
    <row customHeight="1" ht="11.25">
      <c r="A35" s="375" t="s">
        <v>16</v>
      </c>
      <c r="B35" s="0" t="s">
        <v>3181</v>
      </c>
      <c r="C35" s="0" t="s">
        <v>3182</v>
      </c>
      <c r="D35" s="0" t="s">
        <v>3185</v>
      </c>
      <c r="E35" s="0" t="s">
        <v>3186</v>
      </c>
      <c r="F35" s="0" t="s">
        <v>3120</v>
      </c>
      <c r="G35" s="0" t="s">
        <v>1613</v>
      </c>
    </row>
    <row customHeight="1" ht="11.25">
      <c r="A36" s="375" t="s">
        <v>16</v>
      </c>
      <c r="B36" s="0" t="s">
        <v>3181</v>
      </c>
      <c r="C36" s="0" t="s">
        <v>3182</v>
      </c>
      <c r="D36" s="0" t="s">
        <v>3187</v>
      </c>
      <c r="E36" s="0" t="s">
        <v>3188</v>
      </c>
      <c r="F36" s="0" t="s">
        <v>3120</v>
      </c>
      <c r="G36" s="0" t="s">
        <v>1618</v>
      </c>
    </row>
    <row customHeight="1" ht="11.25">
      <c r="A37" s="375" t="s">
        <v>16</v>
      </c>
      <c r="B37" s="0" t="s">
        <v>3181</v>
      </c>
      <c r="C37" s="0" t="s">
        <v>3182</v>
      </c>
      <c r="D37" s="0" t="s">
        <v>3181</v>
      </c>
      <c r="E37" s="0" t="s">
        <v>3182</v>
      </c>
      <c r="F37" s="0" t="s">
        <v>3117</v>
      </c>
      <c r="G37" s="0" t="s">
        <v>1622</v>
      </c>
    </row>
    <row customHeight="1" ht="11.25">
      <c r="A38" s="375" t="s">
        <v>16</v>
      </c>
      <c r="B38" s="0" t="s">
        <v>3181</v>
      </c>
      <c r="C38" s="0" t="s">
        <v>3182</v>
      </c>
      <c r="D38" s="0" t="s">
        <v>3189</v>
      </c>
      <c r="E38" s="0" t="s">
        <v>3190</v>
      </c>
      <c r="F38" s="0" t="s">
        <v>3120</v>
      </c>
      <c r="G38" s="0" t="s">
        <v>1630</v>
      </c>
    </row>
    <row customHeight="1" ht="11.25">
      <c r="A39" s="375" t="s">
        <v>16</v>
      </c>
      <c r="B39" s="0" t="s">
        <v>3181</v>
      </c>
      <c r="C39" s="0" t="s">
        <v>3182</v>
      </c>
      <c r="D39" s="0" t="s">
        <v>3191</v>
      </c>
      <c r="E39" s="0" t="s">
        <v>3192</v>
      </c>
      <c r="F39" s="0" t="s">
        <v>3120</v>
      </c>
      <c r="G39" s="0" t="s">
        <v>1636</v>
      </c>
    </row>
    <row customHeight="1" ht="11.25">
      <c r="A40" s="375" t="s">
        <v>16</v>
      </c>
      <c r="B40" s="0" t="s">
        <v>3181</v>
      </c>
      <c r="C40" s="0" t="s">
        <v>3182</v>
      </c>
      <c r="D40" s="0" t="s">
        <v>3193</v>
      </c>
      <c r="E40" s="0" t="s">
        <v>3194</v>
      </c>
      <c r="F40" s="0" t="s">
        <v>3120</v>
      </c>
      <c r="G40" s="0" t="s">
        <v>1641</v>
      </c>
    </row>
    <row customHeight="1" ht="11.25">
      <c r="A41" s="375" t="s">
        <v>16</v>
      </c>
      <c r="B41" s="0" t="s">
        <v>3181</v>
      </c>
      <c r="C41" s="0" t="s">
        <v>3182</v>
      </c>
      <c r="D41" s="0" t="s">
        <v>3195</v>
      </c>
      <c r="E41" s="0" t="s">
        <v>3196</v>
      </c>
      <c r="F41" s="0" t="s">
        <v>3120</v>
      </c>
      <c r="G41" s="0" t="s">
        <v>1645</v>
      </c>
    </row>
    <row customHeight="1" ht="11.25">
      <c r="A42" s="375" t="s">
        <v>16</v>
      </c>
      <c r="B42" s="0" t="s">
        <v>3181</v>
      </c>
      <c r="C42" s="0" t="s">
        <v>3182</v>
      </c>
      <c r="D42" s="0" t="s">
        <v>3197</v>
      </c>
      <c r="E42" s="0" t="s">
        <v>3198</v>
      </c>
      <c r="F42" s="0" t="s">
        <v>3137</v>
      </c>
      <c r="G42" s="0" t="s">
        <v>1648</v>
      </c>
    </row>
    <row customHeight="1" ht="11.25">
      <c r="A43" s="375" t="s">
        <v>16</v>
      </c>
      <c r="B43" s="0" t="s">
        <v>3199</v>
      </c>
      <c r="C43" s="0" t="s">
        <v>3200</v>
      </c>
      <c r="D43" s="0" t="s">
        <v>3199</v>
      </c>
      <c r="E43" s="0" t="s">
        <v>3200</v>
      </c>
      <c r="F43" s="0" t="s">
        <v>3114</v>
      </c>
      <c r="G43" s="0" t="s">
        <v>1655</v>
      </c>
    </row>
    <row customHeight="1" ht="11.25">
      <c r="A44" s="375" t="s">
        <v>16</v>
      </c>
      <c r="B44" s="0" t="s">
        <v>3201</v>
      </c>
      <c r="C44" s="0" t="s">
        <v>3202</v>
      </c>
      <c r="D44" s="0" t="s">
        <v>3203</v>
      </c>
      <c r="E44" s="0" t="s">
        <v>3204</v>
      </c>
      <c r="F44" s="0" t="s">
        <v>3120</v>
      </c>
      <c r="G44" s="0" t="s">
        <v>1664</v>
      </c>
    </row>
    <row customHeight="1" ht="11.25">
      <c r="A45" s="375" t="s">
        <v>16</v>
      </c>
      <c r="B45" s="0" t="s">
        <v>3201</v>
      </c>
      <c r="C45" s="0" t="s">
        <v>3202</v>
      </c>
      <c r="D45" s="0" t="s">
        <v>3205</v>
      </c>
      <c r="E45" s="0" t="s">
        <v>3206</v>
      </c>
      <c r="F45" s="0" t="s">
        <v>3120</v>
      </c>
      <c r="G45" s="0" t="s">
        <v>1669</v>
      </c>
    </row>
    <row customHeight="1" ht="11.25">
      <c r="A46" s="375" t="s">
        <v>16</v>
      </c>
      <c r="B46" s="0" t="s">
        <v>3201</v>
      </c>
      <c r="C46" s="0" t="s">
        <v>3202</v>
      </c>
      <c r="D46" s="0" t="s">
        <v>3207</v>
      </c>
      <c r="E46" s="0" t="s">
        <v>3208</v>
      </c>
      <c r="F46" s="0" t="s">
        <v>3120</v>
      </c>
      <c r="G46" s="0" t="s">
        <v>1673</v>
      </c>
    </row>
    <row customHeight="1" ht="11.25">
      <c r="A47" s="375" t="s">
        <v>16</v>
      </c>
      <c r="B47" s="0" t="s">
        <v>3201</v>
      </c>
      <c r="C47" s="0" t="s">
        <v>3202</v>
      </c>
      <c r="D47" s="0" t="s">
        <v>3201</v>
      </c>
      <c r="E47" s="0" t="s">
        <v>3202</v>
      </c>
      <c r="F47" s="0" t="s">
        <v>3117</v>
      </c>
      <c r="G47" s="0" t="s">
        <v>1679</v>
      </c>
    </row>
    <row customHeight="1" ht="11.25">
      <c r="A48" s="375" t="s">
        <v>16</v>
      </c>
      <c r="B48" s="0" t="s">
        <v>3201</v>
      </c>
      <c r="C48" s="0" t="s">
        <v>3202</v>
      </c>
      <c r="D48" s="0" t="s">
        <v>3209</v>
      </c>
      <c r="E48" s="0" t="s">
        <v>3210</v>
      </c>
      <c r="F48" s="0" t="s">
        <v>3120</v>
      </c>
      <c r="G48" s="0" t="s">
        <v>1684</v>
      </c>
    </row>
    <row customHeight="1" ht="11.25">
      <c r="A49" s="375" t="s">
        <v>16</v>
      </c>
      <c r="B49" s="0" t="s">
        <v>3201</v>
      </c>
      <c r="C49" s="0" t="s">
        <v>3202</v>
      </c>
      <c r="D49" s="0" t="s">
        <v>3211</v>
      </c>
      <c r="E49" s="0" t="s">
        <v>3212</v>
      </c>
      <c r="F49" s="0" t="s">
        <v>3120</v>
      </c>
      <c r="G49" s="0" t="s">
        <v>1687</v>
      </c>
    </row>
    <row customHeight="1" ht="11.25">
      <c r="A50" s="375" t="s">
        <v>16</v>
      </c>
      <c r="B50" s="0" t="s">
        <v>3201</v>
      </c>
      <c r="C50" s="0" t="s">
        <v>3202</v>
      </c>
      <c r="D50" s="0" t="s">
        <v>3213</v>
      </c>
      <c r="E50" s="0" t="s">
        <v>3214</v>
      </c>
      <c r="F50" s="0" t="s">
        <v>3120</v>
      </c>
      <c r="G50" s="0" t="s">
        <v>1690</v>
      </c>
    </row>
    <row customHeight="1" ht="11.25">
      <c r="A51" s="375" t="s">
        <v>16</v>
      </c>
      <c r="B51" s="0" t="s">
        <v>3201</v>
      </c>
      <c r="C51" s="0" t="s">
        <v>3202</v>
      </c>
      <c r="D51" s="0" t="s">
        <v>3215</v>
      </c>
      <c r="E51" s="0" t="s">
        <v>3216</v>
      </c>
      <c r="F51" s="0" t="s">
        <v>3120</v>
      </c>
      <c r="G51" s="0" t="s">
        <v>1695</v>
      </c>
    </row>
    <row customHeight="1" ht="11.25">
      <c r="A52" s="375" t="s">
        <v>16</v>
      </c>
      <c r="B52" s="0" t="s">
        <v>3201</v>
      </c>
      <c r="C52" s="0" t="s">
        <v>3202</v>
      </c>
      <c r="D52" s="0" t="s">
        <v>3217</v>
      </c>
      <c r="E52" s="0" t="s">
        <v>3218</v>
      </c>
      <c r="F52" s="0" t="s">
        <v>3120</v>
      </c>
      <c r="G52" s="0" t="s">
        <v>1699</v>
      </c>
    </row>
    <row customHeight="1" ht="11.25">
      <c r="A53" s="375" t="s">
        <v>16</v>
      </c>
      <c r="B53" s="0" t="s">
        <v>3201</v>
      </c>
      <c r="C53" s="0" t="s">
        <v>3202</v>
      </c>
      <c r="D53" s="0" t="s">
        <v>3219</v>
      </c>
      <c r="E53" s="0" t="s">
        <v>3220</v>
      </c>
      <c r="F53" s="0" t="s">
        <v>3120</v>
      </c>
      <c r="G53" s="0" t="s">
        <v>1701</v>
      </c>
    </row>
    <row customHeight="1" ht="11.25">
      <c r="A54" s="375" t="s">
        <v>16</v>
      </c>
      <c r="B54" s="0" t="s">
        <v>3201</v>
      </c>
      <c r="C54" s="0" t="s">
        <v>3202</v>
      </c>
      <c r="D54" s="0" t="s">
        <v>3221</v>
      </c>
      <c r="E54" s="0" t="s">
        <v>3222</v>
      </c>
      <c r="F54" s="0" t="s">
        <v>3120</v>
      </c>
      <c r="G54" s="0" t="s">
        <v>1704</v>
      </c>
    </row>
    <row customHeight="1" ht="11.25">
      <c r="A55" s="375" t="s">
        <v>16</v>
      </c>
      <c r="B55" s="0" t="s">
        <v>3201</v>
      </c>
      <c r="C55" s="0" t="s">
        <v>3202</v>
      </c>
      <c r="D55" s="0" t="s">
        <v>3223</v>
      </c>
      <c r="E55" s="0" t="s">
        <v>3224</v>
      </c>
      <c r="F55" s="0" t="s">
        <v>3120</v>
      </c>
      <c r="G55" s="0" t="s">
        <v>1708</v>
      </c>
    </row>
    <row customHeight="1" ht="11.25">
      <c r="A56" s="375" t="s">
        <v>16</v>
      </c>
      <c r="B56" s="0" t="s">
        <v>3201</v>
      </c>
      <c r="C56" s="0" t="s">
        <v>3202</v>
      </c>
      <c r="D56" s="0" t="s">
        <v>3225</v>
      </c>
      <c r="E56" s="0" t="s">
        <v>3226</v>
      </c>
      <c r="F56" s="0" t="s">
        <v>3120</v>
      </c>
      <c r="G56" s="0" t="s">
        <v>1711</v>
      </c>
    </row>
    <row customHeight="1" ht="11.25">
      <c r="A57" s="375" t="s">
        <v>16</v>
      </c>
      <c r="B57" s="0" t="s">
        <v>3201</v>
      </c>
      <c r="C57" s="0" t="s">
        <v>3202</v>
      </c>
      <c r="D57" s="0" t="s">
        <v>3227</v>
      </c>
      <c r="E57" s="0" t="s">
        <v>3228</v>
      </c>
      <c r="F57" s="0" t="s">
        <v>3120</v>
      </c>
      <c r="G57" s="0" t="s">
        <v>1714</v>
      </c>
    </row>
    <row customHeight="1" ht="11.25">
      <c r="A58" s="375" t="s">
        <v>16</v>
      </c>
      <c r="B58" s="0" t="s">
        <v>3229</v>
      </c>
      <c r="C58" s="0" t="s">
        <v>3230</v>
      </c>
      <c r="D58" s="0" t="s">
        <v>3229</v>
      </c>
      <c r="E58" s="0" t="s">
        <v>3230</v>
      </c>
      <c r="F58" s="0" t="s">
        <v>3114</v>
      </c>
      <c r="G58" s="0" t="s">
        <v>1717</v>
      </c>
    </row>
    <row customHeight="1" ht="11.25">
      <c r="A59" s="375" t="s">
        <v>16</v>
      </c>
      <c r="B59" s="0" t="s">
        <v>3231</v>
      </c>
      <c r="C59" s="0" t="s">
        <v>3232</v>
      </c>
      <c r="D59" s="0" t="s">
        <v>3233</v>
      </c>
      <c r="E59" s="0" t="s">
        <v>3234</v>
      </c>
      <c r="F59" s="0" t="s">
        <v>3120</v>
      </c>
      <c r="G59" s="0" t="s">
        <v>1721</v>
      </c>
    </row>
    <row customHeight="1" ht="11.25">
      <c r="A60" s="375" t="s">
        <v>16</v>
      </c>
      <c r="B60" s="0" t="s">
        <v>3231</v>
      </c>
      <c r="C60" s="0" t="s">
        <v>3232</v>
      </c>
      <c r="D60" s="0" t="s">
        <v>3235</v>
      </c>
      <c r="E60" s="0" t="s">
        <v>3236</v>
      </c>
      <c r="F60" s="0" t="s">
        <v>3120</v>
      </c>
      <c r="G60" s="0" t="s">
        <v>1724</v>
      </c>
    </row>
    <row customHeight="1" ht="11.25">
      <c r="A61" s="375" t="s">
        <v>16</v>
      </c>
      <c r="B61" s="0" t="s">
        <v>3231</v>
      </c>
      <c r="C61" s="0" t="s">
        <v>3232</v>
      </c>
      <c r="D61" s="0" t="s">
        <v>3231</v>
      </c>
      <c r="E61" s="0" t="s">
        <v>3232</v>
      </c>
      <c r="F61" s="0" t="s">
        <v>3117</v>
      </c>
      <c r="G61" s="0" t="s">
        <v>3237</v>
      </c>
    </row>
    <row customHeight="1" ht="11.25">
      <c r="A62" s="375" t="s">
        <v>16</v>
      </c>
      <c r="B62" s="0" t="s">
        <v>3231</v>
      </c>
      <c r="C62" s="0" t="s">
        <v>3232</v>
      </c>
      <c r="D62" s="0" t="s">
        <v>3238</v>
      </c>
      <c r="E62" s="0" t="s">
        <v>3239</v>
      </c>
      <c r="F62" s="0" t="s">
        <v>3120</v>
      </c>
      <c r="G62" s="0" t="s">
        <v>3240</v>
      </c>
    </row>
    <row customHeight="1" ht="11.25">
      <c r="A63" s="375" t="s">
        <v>16</v>
      </c>
      <c r="B63" s="0" t="s">
        <v>3231</v>
      </c>
      <c r="C63" s="0" t="s">
        <v>3232</v>
      </c>
      <c r="D63" s="0" t="s">
        <v>3241</v>
      </c>
      <c r="E63" s="0" t="s">
        <v>3242</v>
      </c>
      <c r="F63" s="0" t="s">
        <v>3120</v>
      </c>
      <c r="G63" s="0" t="s">
        <v>3243</v>
      </c>
    </row>
    <row customHeight="1" ht="11.25">
      <c r="A64" s="375" t="s">
        <v>16</v>
      </c>
      <c r="B64" s="0" t="s">
        <v>3231</v>
      </c>
      <c r="C64" s="0" t="s">
        <v>3232</v>
      </c>
      <c r="D64" s="0" t="s">
        <v>3244</v>
      </c>
      <c r="E64" s="0" t="s">
        <v>3245</v>
      </c>
      <c r="F64" s="0" t="s">
        <v>3120</v>
      </c>
      <c r="G64" s="0" t="s">
        <v>3246</v>
      </c>
    </row>
    <row customHeight="1" ht="11.25">
      <c r="A65" s="375" t="s">
        <v>16</v>
      </c>
      <c r="B65" s="0" t="s">
        <v>3231</v>
      </c>
      <c r="C65" s="0" t="s">
        <v>3232</v>
      </c>
      <c r="D65" s="0" t="s">
        <v>3247</v>
      </c>
      <c r="E65" s="0" t="s">
        <v>3248</v>
      </c>
      <c r="F65" s="0" t="s">
        <v>3120</v>
      </c>
      <c r="G65" s="0" t="s">
        <v>3249</v>
      </c>
    </row>
    <row customHeight="1" ht="11.25">
      <c r="A66" s="375" t="s">
        <v>16</v>
      </c>
      <c r="B66" s="0" t="s">
        <v>3231</v>
      </c>
      <c r="C66" s="0" t="s">
        <v>3232</v>
      </c>
      <c r="D66" s="0" t="s">
        <v>3250</v>
      </c>
      <c r="E66" s="0" t="s">
        <v>3251</v>
      </c>
      <c r="F66" s="0" t="s">
        <v>3120</v>
      </c>
      <c r="G66" s="0" t="s">
        <v>3252</v>
      </c>
    </row>
    <row customHeight="1" ht="11.25">
      <c r="A67" s="375" t="s">
        <v>16</v>
      </c>
      <c r="B67" s="0" t="s">
        <v>3231</v>
      </c>
      <c r="C67" s="0" t="s">
        <v>3232</v>
      </c>
      <c r="D67" s="0" t="s">
        <v>3253</v>
      </c>
      <c r="E67" s="0" t="s">
        <v>3254</v>
      </c>
      <c r="F67" s="0" t="s">
        <v>3137</v>
      </c>
      <c r="G67" s="0" t="s">
        <v>2043</v>
      </c>
    </row>
    <row customHeight="1" ht="11.25">
      <c r="A68" s="375" t="s">
        <v>16</v>
      </c>
      <c r="B68" s="0" t="s">
        <v>3255</v>
      </c>
      <c r="C68" s="0" t="s">
        <v>3256</v>
      </c>
      <c r="D68" s="0" t="s">
        <v>3255</v>
      </c>
      <c r="E68" s="0" t="s">
        <v>3256</v>
      </c>
      <c r="F68" s="0" t="s">
        <v>3114</v>
      </c>
      <c r="G68" s="0" t="s">
        <v>3257</v>
      </c>
    </row>
    <row customHeight="1" ht="11.25">
      <c r="A69" s="375" t="s">
        <v>16</v>
      </c>
      <c r="B69" s="0" t="s">
        <v>3258</v>
      </c>
      <c r="C69" s="0" t="s">
        <v>3259</v>
      </c>
      <c r="D69" s="0" t="s">
        <v>3260</v>
      </c>
      <c r="E69" s="0" t="s">
        <v>3261</v>
      </c>
      <c r="F69" s="0" t="s">
        <v>3120</v>
      </c>
      <c r="G69" s="0" t="s">
        <v>2246</v>
      </c>
    </row>
    <row customHeight="1" ht="11.25">
      <c r="A70" s="375" t="s">
        <v>16</v>
      </c>
      <c r="B70" s="0" t="s">
        <v>3258</v>
      </c>
      <c r="C70" s="0" t="s">
        <v>3259</v>
      </c>
      <c r="D70" s="0" t="s">
        <v>3258</v>
      </c>
      <c r="E70" s="0" t="s">
        <v>3259</v>
      </c>
      <c r="F70" s="0" t="s">
        <v>3117</v>
      </c>
      <c r="G70" s="0" t="s">
        <v>3262</v>
      </c>
    </row>
    <row customHeight="1" ht="11.25">
      <c r="A71" s="375" t="s">
        <v>16</v>
      </c>
      <c r="B71" s="0" t="s">
        <v>3258</v>
      </c>
      <c r="C71" s="0" t="s">
        <v>3259</v>
      </c>
      <c r="D71" s="0" t="s">
        <v>3263</v>
      </c>
      <c r="E71" s="0" t="s">
        <v>3264</v>
      </c>
      <c r="F71" s="0" t="s">
        <v>3120</v>
      </c>
      <c r="G71" s="0" t="s">
        <v>3265</v>
      </c>
    </row>
    <row customHeight="1" ht="11.25">
      <c r="A72" s="375" t="s">
        <v>16</v>
      </c>
      <c r="B72" s="0" t="s">
        <v>3258</v>
      </c>
      <c r="C72" s="0" t="s">
        <v>3259</v>
      </c>
      <c r="D72" s="0" t="s">
        <v>3266</v>
      </c>
      <c r="E72" s="0" t="s">
        <v>3267</v>
      </c>
      <c r="F72" s="0" t="s">
        <v>3120</v>
      </c>
      <c r="G72" s="0" t="s">
        <v>3268</v>
      </c>
    </row>
    <row customHeight="1" ht="11.25">
      <c r="A73" s="375" t="s">
        <v>16</v>
      </c>
      <c r="B73" s="0" t="s">
        <v>3258</v>
      </c>
      <c r="C73" s="0" t="s">
        <v>3259</v>
      </c>
      <c r="D73" s="0" t="s">
        <v>3269</v>
      </c>
      <c r="E73" s="0" t="s">
        <v>3270</v>
      </c>
      <c r="F73" s="0" t="s">
        <v>3120</v>
      </c>
      <c r="G73" s="0" t="s">
        <v>3271</v>
      </c>
    </row>
    <row customHeight="1" ht="11.25">
      <c r="A74" s="375" t="s">
        <v>16</v>
      </c>
      <c r="B74" s="0" t="s">
        <v>3258</v>
      </c>
      <c r="C74" s="0" t="s">
        <v>3259</v>
      </c>
      <c r="D74" s="0" t="s">
        <v>3272</v>
      </c>
      <c r="E74" s="0" t="s">
        <v>3273</v>
      </c>
      <c r="F74" s="0" t="s">
        <v>3120</v>
      </c>
      <c r="G74" s="0" t="s">
        <v>3274</v>
      </c>
    </row>
    <row customHeight="1" ht="11.25">
      <c r="A75" s="375" t="s">
        <v>16</v>
      </c>
      <c r="B75" s="0" t="s">
        <v>3258</v>
      </c>
      <c r="C75" s="0" t="s">
        <v>3259</v>
      </c>
      <c r="D75" s="0" t="s">
        <v>3275</v>
      </c>
      <c r="E75" s="0" t="s">
        <v>3276</v>
      </c>
      <c r="F75" s="0" t="s">
        <v>3176</v>
      </c>
      <c r="G75" s="0" t="s">
        <v>3277</v>
      </c>
    </row>
    <row customHeight="1" ht="11.25">
      <c r="A76" s="375" t="s">
        <v>16</v>
      </c>
      <c r="B76" s="0" t="s">
        <v>3278</v>
      </c>
      <c r="C76" s="0" t="s">
        <v>3279</v>
      </c>
      <c r="D76" s="0" t="s">
        <v>3278</v>
      </c>
      <c r="E76" s="0" t="s">
        <v>3279</v>
      </c>
      <c r="F76" s="0" t="s">
        <v>3114</v>
      </c>
      <c r="G76" s="0" t="s">
        <v>3280</v>
      </c>
    </row>
    <row customHeight="1" ht="11.25">
      <c r="A77" s="375" t="s">
        <v>16</v>
      </c>
      <c r="B77" s="0" t="s">
        <v>3281</v>
      </c>
      <c r="C77" s="0" t="s">
        <v>3282</v>
      </c>
      <c r="D77" s="0" t="s">
        <v>3281</v>
      </c>
      <c r="E77" s="0" t="s">
        <v>3282</v>
      </c>
      <c r="F77" s="0" t="s">
        <v>3114</v>
      </c>
      <c r="G77" s="0" t="s">
        <v>3283</v>
      </c>
    </row>
    <row customHeight="1" ht="11.25">
      <c r="A78" s="375" t="s">
        <v>16</v>
      </c>
      <c r="B78" s="0" t="s">
        <v>3284</v>
      </c>
      <c r="C78" s="0" t="s">
        <v>3285</v>
      </c>
      <c r="D78" s="0" t="s">
        <v>3284</v>
      </c>
      <c r="E78" s="0" t="s">
        <v>3285</v>
      </c>
      <c r="F78" s="0" t="s">
        <v>3114</v>
      </c>
      <c r="G78" s="0" t="s">
        <v>3286</v>
      </c>
    </row>
    <row customHeight="1" ht="11.25">
      <c r="A79" s="375" t="s">
        <v>16</v>
      </c>
      <c r="B79" s="0" t="s">
        <v>3287</v>
      </c>
      <c r="C79" s="0" t="s">
        <v>3288</v>
      </c>
      <c r="D79" s="0" t="s">
        <v>3287</v>
      </c>
      <c r="E79" s="0" t="s">
        <v>3288</v>
      </c>
      <c r="F79" s="0" t="s">
        <v>3114</v>
      </c>
      <c r="G79" s="0" t="s">
        <v>3289</v>
      </c>
    </row>
    <row customHeight="1" ht="11.25">
      <c r="A80" s="375" t="s">
        <v>16</v>
      </c>
      <c r="B80" s="0" t="s">
        <v>3290</v>
      </c>
      <c r="C80" s="0" t="s">
        <v>3291</v>
      </c>
      <c r="D80" s="0" t="s">
        <v>3292</v>
      </c>
      <c r="E80" s="0" t="s">
        <v>3293</v>
      </c>
      <c r="F80" s="0" t="s">
        <v>3120</v>
      </c>
      <c r="G80" s="0" t="s">
        <v>3294</v>
      </c>
    </row>
    <row customHeight="1" ht="11.25">
      <c r="A81" s="375" t="s">
        <v>16</v>
      </c>
      <c r="B81" s="0" t="s">
        <v>3290</v>
      </c>
      <c r="C81" s="0" t="s">
        <v>3291</v>
      </c>
      <c r="D81" s="0" t="s">
        <v>3295</v>
      </c>
      <c r="E81" s="0" t="s">
        <v>3296</v>
      </c>
      <c r="F81" s="0" t="s">
        <v>3120</v>
      </c>
      <c r="G81" s="0" t="s">
        <v>3297</v>
      </c>
    </row>
    <row customHeight="1" ht="11.25">
      <c r="A82" s="375" t="s">
        <v>16</v>
      </c>
      <c r="B82" s="0" t="s">
        <v>3290</v>
      </c>
      <c r="C82" s="0" t="s">
        <v>3291</v>
      </c>
      <c r="D82" s="0" t="s">
        <v>3290</v>
      </c>
      <c r="E82" s="0" t="s">
        <v>3291</v>
      </c>
      <c r="F82" s="0" t="s">
        <v>3117</v>
      </c>
      <c r="G82" s="0" t="s">
        <v>3298</v>
      </c>
    </row>
    <row customHeight="1" ht="11.25">
      <c r="A83" s="375" t="s">
        <v>16</v>
      </c>
      <c r="B83" s="0" t="s">
        <v>3290</v>
      </c>
      <c r="C83" s="0" t="s">
        <v>3291</v>
      </c>
      <c r="D83" s="0" t="s">
        <v>3299</v>
      </c>
      <c r="E83" s="0" t="s">
        <v>3300</v>
      </c>
      <c r="F83" s="0" t="s">
        <v>3120</v>
      </c>
      <c r="G83" s="0" t="s">
        <v>3301</v>
      </c>
    </row>
    <row customHeight="1" ht="11.25">
      <c r="A84" s="375" t="s">
        <v>16</v>
      </c>
      <c r="B84" s="0" t="s">
        <v>3302</v>
      </c>
      <c r="C84" s="0" t="s">
        <v>3303</v>
      </c>
      <c r="D84" s="0" t="s">
        <v>3302</v>
      </c>
      <c r="E84" s="0" t="s">
        <v>3303</v>
      </c>
      <c r="F84" s="0" t="s">
        <v>3114</v>
      </c>
      <c r="G84" s="0" t="s">
        <v>3304</v>
      </c>
    </row>
    <row customHeight="1" ht="11.25">
      <c r="A85" s="375" t="s">
        <v>16</v>
      </c>
      <c r="B85" s="0" t="s">
        <v>3305</v>
      </c>
      <c r="C85" s="0" t="s">
        <v>3306</v>
      </c>
      <c r="D85" s="0" t="s">
        <v>3307</v>
      </c>
      <c r="E85" s="0" t="s">
        <v>3308</v>
      </c>
      <c r="F85" s="0" t="s">
        <v>3120</v>
      </c>
      <c r="G85" s="0" t="s">
        <v>3309</v>
      </c>
    </row>
    <row customHeight="1" ht="11.25">
      <c r="A86" s="375" t="s">
        <v>16</v>
      </c>
      <c r="B86" s="0" t="s">
        <v>3305</v>
      </c>
      <c r="C86" s="0" t="s">
        <v>3306</v>
      </c>
      <c r="D86" s="0" t="s">
        <v>3310</v>
      </c>
      <c r="E86" s="0" t="s">
        <v>3311</v>
      </c>
      <c r="F86" s="0" t="s">
        <v>3120</v>
      </c>
      <c r="G86" s="0" t="s">
        <v>3312</v>
      </c>
    </row>
    <row customHeight="1" ht="11.25">
      <c r="A87" s="375" t="s">
        <v>16</v>
      </c>
      <c r="B87" s="0" t="s">
        <v>3305</v>
      </c>
      <c r="C87" s="0" t="s">
        <v>3306</v>
      </c>
      <c r="D87" s="0" t="s">
        <v>3305</v>
      </c>
      <c r="E87" s="0" t="s">
        <v>3306</v>
      </c>
      <c r="F87" s="0" t="s">
        <v>3117</v>
      </c>
      <c r="G87" s="0" t="s">
        <v>3313</v>
      </c>
    </row>
    <row customHeight="1" ht="11.25">
      <c r="A88" s="375" t="s">
        <v>16</v>
      </c>
      <c r="B88" s="0" t="s">
        <v>3305</v>
      </c>
      <c r="C88" s="0" t="s">
        <v>3306</v>
      </c>
      <c r="D88" s="0" t="s">
        <v>3314</v>
      </c>
      <c r="E88" s="0" t="s">
        <v>3315</v>
      </c>
      <c r="F88" s="0" t="s">
        <v>3120</v>
      </c>
      <c r="G88" s="0" t="s">
        <v>3316</v>
      </c>
    </row>
    <row customHeight="1" ht="11.25">
      <c r="A89" s="375" t="s">
        <v>16</v>
      </c>
      <c r="B89" s="0" t="s">
        <v>3305</v>
      </c>
      <c r="C89" s="0" t="s">
        <v>3306</v>
      </c>
      <c r="D89" s="0" t="s">
        <v>3317</v>
      </c>
      <c r="E89" s="0" t="s">
        <v>3318</v>
      </c>
      <c r="F89" s="0" t="s">
        <v>3120</v>
      </c>
      <c r="G89" s="0" t="s">
        <v>3319</v>
      </c>
    </row>
    <row customHeight="1" ht="11.25">
      <c r="A90" s="375" t="s">
        <v>16</v>
      </c>
      <c r="B90" s="0" t="s">
        <v>3320</v>
      </c>
      <c r="C90" s="0" t="s">
        <v>3321</v>
      </c>
      <c r="D90" s="0" t="s">
        <v>3320</v>
      </c>
      <c r="E90" s="0" t="s">
        <v>3321</v>
      </c>
      <c r="F90" s="0" t="s">
        <v>3114</v>
      </c>
      <c r="G90" s="0" t="s">
        <v>3322</v>
      </c>
    </row>
    <row customHeight="1" ht="11.25">
      <c r="A91" s="375" t="s">
        <v>16</v>
      </c>
      <c r="B91" s="0" t="s">
        <v>3323</v>
      </c>
      <c r="C91" s="0" t="s">
        <v>3324</v>
      </c>
      <c r="D91" s="0" t="s">
        <v>3325</v>
      </c>
      <c r="E91" s="0" t="s">
        <v>3326</v>
      </c>
      <c r="F91" s="0" t="s">
        <v>3120</v>
      </c>
      <c r="G91" s="0" t="s">
        <v>3327</v>
      </c>
    </row>
    <row customHeight="1" ht="11.25">
      <c r="A92" s="375" t="s">
        <v>16</v>
      </c>
      <c r="B92" s="0" t="s">
        <v>3323</v>
      </c>
      <c r="C92" s="0" t="s">
        <v>3324</v>
      </c>
      <c r="D92" s="0" t="s">
        <v>3323</v>
      </c>
      <c r="E92" s="0" t="s">
        <v>3324</v>
      </c>
      <c r="F92" s="0" t="s">
        <v>3117</v>
      </c>
      <c r="G92" s="0" t="s">
        <v>3328</v>
      </c>
    </row>
    <row customHeight="1" ht="11.25">
      <c r="A93" s="375" t="s">
        <v>16</v>
      </c>
      <c r="B93" s="0" t="s">
        <v>3323</v>
      </c>
      <c r="C93" s="0" t="s">
        <v>3324</v>
      </c>
      <c r="D93" s="0" t="s">
        <v>3329</v>
      </c>
      <c r="E93" s="0" t="s">
        <v>3330</v>
      </c>
      <c r="F93" s="0" t="s">
        <v>3120</v>
      </c>
      <c r="G93" s="0" t="s">
        <v>3331</v>
      </c>
    </row>
    <row customHeight="1" ht="11.25">
      <c r="A94" s="375" t="s">
        <v>16</v>
      </c>
      <c r="B94" s="0" t="s">
        <v>3323</v>
      </c>
      <c r="C94" s="0" t="s">
        <v>3324</v>
      </c>
      <c r="D94" s="0" t="s">
        <v>3332</v>
      </c>
      <c r="E94" s="0" t="s">
        <v>3333</v>
      </c>
      <c r="F94" s="0" t="s">
        <v>3120</v>
      </c>
      <c r="G94" s="0" t="s">
        <v>3334</v>
      </c>
    </row>
    <row customHeight="1" ht="11.25">
      <c r="A95" s="375" t="s">
        <v>16</v>
      </c>
      <c r="B95" s="0" t="s">
        <v>3335</v>
      </c>
      <c r="C95" s="0" t="s">
        <v>3336</v>
      </c>
      <c r="D95" s="0" t="s">
        <v>3335</v>
      </c>
      <c r="E95" s="0" t="s">
        <v>3336</v>
      </c>
      <c r="F95" s="0" t="s">
        <v>3114</v>
      </c>
      <c r="G95" s="0" t="s">
        <v>3337</v>
      </c>
    </row>
    <row customHeight="1" ht="11.25">
      <c r="A96" s="375" t="s">
        <v>16</v>
      </c>
      <c r="B96" s="0" t="s">
        <v>3338</v>
      </c>
      <c r="C96" s="0" t="s">
        <v>3339</v>
      </c>
      <c r="D96" s="0" t="s">
        <v>3338</v>
      </c>
      <c r="E96" s="0" t="s">
        <v>3339</v>
      </c>
      <c r="F96" s="0" t="s">
        <v>3114</v>
      </c>
      <c r="G96" s="0" t="s">
        <v>3340</v>
      </c>
    </row>
    <row customHeight="1" ht="11.25">
      <c r="A97" s="375" t="s">
        <v>16</v>
      </c>
      <c r="B97" s="0" t="s">
        <v>3341</v>
      </c>
      <c r="C97" s="0" t="s">
        <v>3342</v>
      </c>
      <c r="D97" s="0" t="s">
        <v>3341</v>
      </c>
      <c r="E97" s="0" t="s">
        <v>3342</v>
      </c>
      <c r="F97" s="0" t="s">
        <v>3114</v>
      </c>
      <c r="G97" s="0" t="s">
        <v>3343</v>
      </c>
    </row>
    <row customHeight="1" ht="11.25">
      <c r="A98" s="375" t="s">
        <v>16</v>
      </c>
      <c r="B98" s="0" t="s">
        <v>3344</v>
      </c>
      <c r="C98" s="0" t="s">
        <v>3345</v>
      </c>
      <c r="D98" s="0" t="s">
        <v>3344</v>
      </c>
      <c r="E98" s="0" t="s">
        <v>3345</v>
      </c>
      <c r="F98" s="0" t="s">
        <v>3114</v>
      </c>
      <c r="G98" s="0" t="s">
        <v>3346</v>
      </c>
    </row>
    <row customHeight="1" ht="11.25">
      <c r="A99" s="375" t="s">
        <v>16</v>
      </c>
      <c r="B99" s="0" t="s">
        <v>3347</v>
      </c>
      <c r="C99" s="0" t="s">
        <v>3348</v>
      </c>
      <c r="D99" s="0" t="s">
        <v>3349</v>
      </c>
      <c r="E99" s="0" t="s">
        <v>3350</v>
      </c>
      <c r="F99" s="0" t="s">
        <v>3120</v>
      </c>
      <c r="G99" s="0" t="s">
        <v>3351</v>
      </c>
    </row>
    <row customHeight="1" ht="11.25">
      <c r="A100" s="375" t="s">
        <v>16</v>
      </c>
      <c r="B100" s="0" t="s">
        <v>3347</v>
      </c>
      <c r="C100" s="0" t="s">
        <v>3348</v>
      </c>
      <c r="D100" s="0" t="s">
        <v>3352</v>
      </c>
      <c r="E100" s="0" t="s">
        <v>3353</v>
      </c>
      <c r="F100" s="0" t="s">
        <v>3120</v>
      </c>
      <c r="G100" s="0" t="s">
        <v>3354</v>
      </c>
    </row>
    <row customHeight="1" ht="11.25">
      <c r="A101" s="375" t="s">
        <v>16</v>
      </c>
      <c r="B101" s="0" t="s">
        <v>3347</v>
      </c>
      <c r="C101" s="0" t="s">
        <v>3348</v>
      </c>
      <c r="D101" s="0" t="s">
        <v>3355</v>
      </c>
      <c r="E101" s="0" t="s">
        <v>3356</v>
      </c>
      <c r="F101" s="0" t="s">
        <v>3120</v>
      </c>
      <c r="G101" s="0" t="s">
        <v>3357</v>
      </c>
    </row>
    <row customHeight="1" ht="11.25">
      <c r="A102" s="375" t="s">
        <v>16</v>
      </c>
      <c r="B102" s="0" t="s">
        <v>3347</v>
      </c>
      <c r="C102" s="0" t="s">
        <v>3348</v>
      </c>
      <c r="D102" s="0" t="s">
        <v>3358</v>
      </c>
      <c r="E102" s="0" t="s">
        <v>3359</v>
      </c>
      <c r="F102" s="0" t="s">
        <v>3120</v>
      </c>
      <c r="G102" s="0" t="s">
        <v>3360</v>
      </c>
    </row>
    <row customHeight="1" ht="11.25">
      <c r="A103" s="375" t="s">
        <v>16</v>
      </c>
      <c r="B103" s="0" t="s">
        <v>3347</v>
      </c>
      <c r="C103" s="0" t="s">
        <v>3348</v>
      </c>
      <c r="D103" s="0" t="s">
        <v>3347</v>
      </c>
      <c r="E103" s="0" t="s">
        <v>3348</v>
      </c>
      <c r="F103" s="0" t="s">
        <v>3117</v>
      </c>
      <c r="G103" s="0" t="s">
        <v>3361</v>
      </c>
    </row>
    <row customHeight="1" ht="11.25">
      <c r="A104" s="375" t="s">
        <v>16</v>
      </c>
      <c r="B104" s="0" t="s">
        <v>3347</v>
      </c>
      <c r="C104" s="0" t="s">
        <v>3348</v>
      </c>
      <c r="D104" s="0" t="s">
        <v>3362</v>
      </c>
      <c r="E104" s="0" t="s">
        <v>3363</v>
      </c>
      <c r="F104" s="0" t="s">
        <v>3120</v>
      </c>
      <c r="G104" s="0" t="s">
        <v>3364</v>
      </c>
    </row>
    <row customHeight="1" ht="11.25">
      <c r="A105" s="375" t="s">
        <v>16</v>
      </c>
      <c r="B105" s="0" t="s">
        <v>3347</v>
      </c>
      <c r="C105" s="0" t="s">
        <v>3348</v>
      </c>
      <c r="D105" s="0" t="s">
        <v>3365</v>
      </c>
      <c r="E105" s="0" t="s">
        <v>3366</v>
      </c>
      <c r="F105" s="0" t="s">
        <v>3176</v>
      </c>
      <c r="G105" s="0" t="s">
        <v>3367</v>
      </c>
    </row>
    <row customHeight="1" ht="11.25">
      <c r="A106" s="375" t="s">
        <v>16</v>
      </c>
      <c r="B106" s="0" t="s">
        <v>3368</v>
      </c>
      <c r="C106" s="0" t="s">
        <v>3369</v>
      </c>
      <c r="D106" s="0" t="s">
        <v>3368</v>
      </c>
      <c r="E106" s="0" t="s">
        <v>3369</v>
      </c>
      <c r="F106" s="0" t="s">
        <v>3114</v>
      </c>
      <c r="G106" s="0" t="s">
        <v>3370</v>
      </c>
    </row>
    <row customHeight="1" ht="11.25">
      <c r="A107" s="375" t="s">
        <v>16</v>
      </c>
      <c r="B107" s="0" t="s">
        <v>3371</v>
      </c>
      <c r="C107" s="0" t="s">
        <v>3372</v>
      </c>
      <c r="D107" s="0" t="s">
        <v>3373</v>
      </c>
      <c r="E107" s="0" t="s">
        <v>3374</v>
      </c>
      <c r="F107" s="0" t="s">
        <v>3120</v>
      </c>
      <c r="G107" s="0" t="s">
        <v>3375</v>
      </c>
    </row>
    <row customHeight="1" ht="11.25">
      <c r="A108" s="375" t="s">
        <v>16</v>
      </c>
      <c r="B108" s="0" t="s">
        <v>3371</v>
      </c>
      <c r="C108" s="0" t="s">
        <v>3372</v>
      </c>
      <c r="D108" s="0" t="s">
        <v>3376</v>
      </c>
      <c r="E108" s="0" t="s">
        <v>3377</v>
      </c>
      <c r="F108" s="0" t="s">
        <v>3120</v>
      </c>
      <c r="G108" s="0" t="s">
        <v>3378</v>
      </c>
    </row>
    <row customHeight="1" ht="11.25">
      <c r="A109" s="375" t="s">
        <v>16</v>
      </c>
      <c r="B109" s="0" t="s">
        <v>3371</v>
      </c>
      <c r="C109" s="0" t="s">
        <v>3372</v>
      </c>
      <c r="D109" s="0" t="s">
        <v>3371</v>
      </c>
      <c r="E109" s="0" t="s">
        <v>3372</v>
      </c>
      <c r="F109" s="0" t="s">
        <v>3117</v>
      </c>
      <c r="G109" s="0" t="s">
        <v>3379</v>
      </c>
    </row>
    <row customHeight="1" ht="11.25">
      <c r="A110" s="375" t="s">
        <v>16</v>
      </c>
      <c r="B110" s="0" t="s">
        <v>3371</v>
      </c>
      <c r="C110" s="0" t="s">
        <v>3372</v>
      </c>
      <c r="D110" s="0" t="s">
        <v>3380</v>
      </c>
      <c r="E110" s="0" t="s">
        <v>3381</v>
      </c>
      <c r="F110" s="0" t="s">
        <v>3120</v>
      </c>
      <c r="G110" s="0" t="s">
        <v>3382</v>
      </c>
    </row>
    <row customHeight="1" ht="11.25">
      <c r="A111" s="375" t="s">
        <v>16</v>
      </c>
      <c r="B111" s="0" t="s">
        <v>3371</v>
      </c>
      <c r="C111" s="0" t="s">
        <v>3372</v>
      </c>
      <c r="D111" s="0" t="s">
        <v>3383</v>
      </c>
      <c r="E111" s="0" t="s">
        <v>3384</v>
      </c>
      <c r="F111" s="0" t="s">
        <v>3137</v>
      </c>
      <c r="G111" s="0" t="s">
        <v>3385</v>
      </c>
    </row>
    <row customHeight="1" ht="11.25">
      <c r="A112" s="375" t="s">
        <v>16</v>
      </c>
      <c r="B112" s="0" t="s">
        <v>3386</v>
      </c>
      <c r="C112" s="0" t="s">
        <v>3387</v>
      </c>
      <c r="D112" s="0" t="s">
        <v>3386</v>
      </c>
      <c r="E112" s="0" t="s">
        <v>3387</v>
      </c>
      <c r="F112" s="0" t="s">
        <v>3114</v>
      </c>
      <c r="G112" s="0" t="s">
        <v>3388</v>
      </c>
    </row>
    <row customHeight="1" ht="11.25">
      <c r="A113" s="375" t="s">
        <v>16</v>
      </c>
      <c r="B113" s="0" t="s">
        <v>3389</v>
      </c>
      <c r="C113" s="0" t="s">
        <v>3390</v>
      </c>
      <c r="D113" s="0" t="s">
        <v>3391</v>
      </c>
      <c r="E113" s="0" t="s">
        <v>3392</v>
      </c>
      <c r="F113" s="0" t="s">
        <v>3120</v>
      </c>
      <c r="G113" s="0" t="s">
        <v>3393</v>
      </c>
    </row>
    <row customHeight="1" ht="11.25">
      <c r="A114" s="375" t="s">
        <v>16</v>
      </c>
      <c r="B114" s="0" t="s">
        <v>3389</v>
      </c>
      <c r="C114" s="0" t="s">
        <v>3390</v>
      </c>
      <c r="D114" s="0" t="s">
        <v>3394</v>
      </c>
      <c r="E114" s="0" t="s">
        <v>3395</v>
      </c>
      <c r="F114" s="0" t="s">
        <v>3120</v>
      </c>
      <c r="G114" s="0" t="s">
        <v>3396</v>
      </c>
    </row>
    <row customHeight="1" ht="11.25">
      <c r="A115" s="375" t="s">
        <v>16</v>
      </c>
      <c r="B115" s="0" t="s">
        <v>3389</v>
      </c>
      <c r="C115" s="0" t="s">
        <v>3390</v>
      </c>
      <c r="D115" s="0" t="s">
        <v>3397</v>
      </c>
      <c r="E115" s="0" t="s">
        <v>3398</v>
      </c>
      <c r="F115" s="0" t="s">
        <v>3120</v>
      </c>
      <c r="G115" s="0" t="s">
        <v>3399</v>
      </c>
    </row>
    <row customHeight="1" ht="11.25">
      <c r="A116" s="375" t="s">
        <v>16</v>
      </c>
      <c r="B116" s="0" t="s">
        <v>3389</v>
      </c>
      <c r="C116" s="0" t="s">
        <v>3390</v>
      </c>
      <c r="D116" s="0" t="s">
        <v>3400</v>
      </c>
      <c r="E116" s="0" t="s">
        <v>3401</v>
      </c>
      <c r="F116" s="0" t="s">
        <v>3120</v>
      </c>
      <c r="G116" s="0" t="s">
        <v>3402</v>
      </c>
    </row>
    <row customHeight="1" ht="11.25">
      <c r="A117" s="375" t="s">
        <v>16</v>
      </c>
      <c r="B117" s="0" t="s">
        <v>3389</v>
      </c>
      <c r="C117" s="0" t="s">
        <v>3390</v>
      </c>
      <c r="D117" s="0" t="s">
        <v>3403</v>
      </c>
      <c r="E117" s="0" t="s">
        <v>3404</v>
      </c>
      <c r="F117" s="0" t="s">
        <v>3120</v>
      </c>
      <c r="G117" s="0" t="s">
        <v>3405</v>
      </c>
    </row>
    <row customHeight="1" ht="11.25">
      <c r="A118" s="375" t="s">
        <v>16</v>
      </c>
      <c r="B118" s="0" t="s">
        <v>3389</v>
      </c>
      <c r="C118" s="0" t="s">
        <v>3390</v>
      </c>
      <c r="D118" s="0" t="s">
        <v>3389</v>
      </c>
      <c r="E118" s="0" t="s">
        <v>3390</v>
      </c>
      <c r="F118" s="0" t="s">
        <v>3117</v>
      </c>
      <c r="G118" s="0" t="s">
        <v>3406</v>
      </c>
    </row>
    <row customHeight="1" ht="11.25">
      <c r="A119" s="375" t="s">
        <v>16</v>
      </c>
      <c r="B119" s="0" t="s">
        <v>3389</v>
      </c>
      <c r="C119" s="0" t="s">
        <v>3390</v>
      </c>
      <c r="D119" s="0" t="s">
        <v>3407</v>
      </c>
      <c r="E119" s="0" t="s">
        <v>3408</v>
      </c>
      <c r="F119" s="0" t="s">
        <v>3120</v>
      </c>
      <c r="G119" s="0" t="s">
        <v>3409</v>
      </c>
    </row>
    <row customHeight="1" ht="11.25">
      <c r="A120" s="375" t="s">
        <v>16</v>
      </c>
      <c r="B120" s="0" t="s">
        <v>3389</v>
      </c>
      <c r="C120" s="0" t="s">
        <v>3390</v>
      </c>
      <c r="D120" s="0" t="s">
        <v>3410</v>
      </c>
      <c r="E120" s="0" t="s">
        <v>3411</v>
      </c>
      <c r="F120" s="0" t="s">
        <v>3137</v>
      </c>
      <c r="G120" s="0" t="s">
        <v>3412</v>
      </c>
    </row>
    <row customHeight="1" ht="11.25">
      <c r="A121" s="375" t="s">
        <v>16</v>
      </c>
      <c r="B121" s="0" t="s">
        <v>3413</v>
      </c>
      <c r="C121" s="0" t="s">
        <v>3414</v>
      </c>
      <c r="D121" s="0" t="s">
        <v>3413</v>
      </c>
      <c r="E121" s="0" t="s">
        <v>3414</v>
      </c>
      <c r="F121" s="0" t="s">
        <v>3114</v>
      </c>
      <c r="G121" s="0" t="s">
        <v>3415</v>
      </c>
    </row>
    <row customHeight="1" ht="11.25">
      <c r="A122" s="375" t="s">
        <v>16</v>
      </c>
      <c r="B122" s="0" t="s">
        <v>3416</v>
      </c>
      <c r="C122" s="0" t="s">
        <v>3417</v>
      </c>
      <c r="D122" s="0" t="s">
        <v>3418</v>
      </c>
      <c r="E122" s="0" t="s">
        <v>3419</v>
      </c>
      <c r="F122" s="0" t="s">
        <v>3120</v>
      </c>
      <c r="G122" s="0" t="s">
        <v>3420</v>
      </c>
    </row>
    <row customHeight="1" ht="11.25">
      <c r="A123" s="375" t="s">
        <v>16</v>
      </c>
      <c r="B123" s="0" t="s">
        <v>3416</v>
      </c>
      <c r="C123" s="0" t="s">
        <v>3417</v>
      </c>
      <c r="D123" s="0" t="s">
        <v>3421</v>
      </c>
      <c r="E123" s="0" t="s">
        <v>3422</v>
      </c>
      <c r="F123" s="0" t="s">
        <v>3120</v>
      </c>
      <c r="G123" s="0" t="s">
        <v>3423</v>
      </c>
    </row>
    <row customHeight="1" ht="11.25">
      <c r="A124" s="375" t="s">
        <v>16</v>
      </c>
      <c r="B124" s="0" t="s">
        <v>3416</v>
      </c>
      <c r="C124" s="0" t="s">
        <v>3417</v>
      </c>
      <c r="D124" s="0" t="s">
        <v>3424</v>
      </c>
      <c r="E124" s="0" t="s">
        <v>3425</v>
      </c>
      <c r="F124" s="0" t="s">
        <v>3120</v>
      </c>
      <c r="G124" s="0" t="s">
        <v>3426</v>
      </c>
    </row>
    <row customHeight="1" ht="11.25">
      <c r="A125" s="375" t="s">
        <v>16</v>
      </c>
      <c r="B125" s="0" t="s">
        <v>3416</v>
      </c>
      <c r="C125" s="0" t="s">
        <v>3417</v>
      </c>
      <c r="D125" s="0" t="s">
        <v>3427</v>
      </c>
      <c r="E125" s="0" t="s">
        <v>3428</v>
      </c>
      <c r="F125" s="0" t="s">
        <v>3120</v>
      </c>
      <c r="G125" s="0" t="s">
        <v>3429</v>
      </c>
    </row>
    <row customHeight="1" ht="11.25">
      <c r="A126" s="375" t="s">
        <v>16</v>
      </c>
      <c r="B126" s="0" t="s">
        <v>3416</v>
      </c>
      <c r="C126" s="0" t="s">
        <v>3417</v>
      </c>
      <c r="D126" s="0" t="s">
        <v>3416</v>
      </c>
      <c r="E126" s="0" t="s">
        <v>3417</v>
      </c>
      <c r="F126" s="0" t="s">
        <v>3117</v>
      </c>
      <c r="G126" s="0" t="s">
        <v>3430</v>
      </c>
    </row>
    <row customHeight="1" ht="11.25">
      <c r="A127" s="375" t="s">
        <v>16</v>
      </c>
      <c r="B127" s="0" t="s">
        <v>3416</v>
      </c>
      <c r="C127" s="0" t="s">
        <v>3417</v>
      </c>
      <c r="D127" s="0" t="s">
        <v>3431</v>
      </c>
      <c r="E127" s="0" t="s">
        <v>3432</v>
      </c>
      <c r="F127" s="0" t="s">
        <v>3120</v>
      </c>
      <c r="G127" s="0" t="s">
        <v>3433</v>
      </c>
    </row>
    <row customHeight="1" ht="11.25">
      <c r="A128" s="375" t="s">
        <v>16</v>
      </c>
      <c r="B128" s="0" t="s">
        <v>3416</v>
      </c>
      <c r="C128" s="0" t="s">
        <v>3417</v>
      </c>
      <c r="D128" s="0" t="s">
        <v>3434</v>
      </c>
      <c r="E128" s="0" t="s">
        <v>3435</v>
      </c>
      <c r="F128" s="0" t="s">
        <v>3120</v>
      </c>
      <c r="G128" s="0" t="s">
        <v>3436</v>
      </c>
    </row>
    <row customHeight="1" ht="11.25">
      <c r="A129" s="375" t="s">
        <v>16</v>
      </c>
      <c r="B129" s="0" t="s">
        <v>3416</v>
      </c>
      <c r="C129" s="0" t="s">
        <v>3417</v>
      </c>
      <c r="D129" s="0" t="s">
        <v>3437</v>
      </c>
      <c r="E129" s="0" t="s">
        <v>3438</v>
      </c>
      <c r="F129" s="0" t="s">
        <v>3176</v>
      </c>
      <c r="G129" s="0" t="s">
        <v>3439</v>
      </c>
    </row>
    <row customHeight="1" ht="11.25">
      <c r="A130" s="375" t="s">
        <v>16</v>
      </c>
      <c r="B130" s="0" t="s">
        <v>3440</v>
      </c>
      <c r="C130" s="0" t="s">
        <v>3441</v>
      </c>
      <c r="D130" s="0" t="s">
        <v>3440</v>
      </c>
      <c r="E130" s="0" t="s">
        <v>3441</v>
      </c>
      <c r="F130" s="0" t="s">
        <v>3114</v>
      </c>
      <c r="G130" s="0" t="s">
        <v>3442</v>
      </c>
    </row>
    <row customHeight="1" ht="11.25">
      <c r="A131" s="375" t="s">
        <v>16</v>
      </c>
      <c r="B131" s="0" t="s">
        <v>3443</v>
      </c>
      <c r="C131" s="0" t="s">
        <v>3444</v>
      </c>
      <c r="D131" s="0" t="s">
        <v>3445</v>
      </c>
      <c r="E131" s="0" t="s">
        <v>3446</v>
      </c>
      <c r="F131" s="0" t="s">
        <v>3120</v>
      </c>
      <c r="G131" s="0" t="s">
        <v>3447</v>
      </c>
    </row>
    <row customHeight="1" ht="11.25">
      <c r="A132" s="375" t="s">
        <v>16</v>
      </c>
      <c r="B132" s="0" t="s">
        <v>3443</v>
      </c>
      <c r="C132" s="0" t="s">
        <v>3444</v>
      </c>
      <c r="D132" s="0" t="s">
        <v>3448</v>
      </c>
      <c r="E132" s="0" t="s">
        <v>3449</v>
      </c>
      <c r="F132" s="0" t="s">
        <v>3120</v>
      </c>
      <c r="G132" s="0" t="s">
        <v>3450</v>
      </c>
    </row>
    <row customHeight="1" ht="11.25">
      <c r="A133" s="375" t="s">
        <v>16</v>
      </c>
      <c r="B133" s="0" t="s">
        <v>3443</v>
      </c>
      <c r="C133" s="0" t="s">
        <v>3444</v>
      </c>
      <c r="D133" s="0" t="s">
        <v>3451</v>
      </c>
      <c r="E133" s="0" t="s">
        <v>3452</v>
      </c>
      <c r="F133" s="0" t="s">
        <v>3120</v>
      </c>
      <c r="G133" s="0" t="s">
        <v>3453</v>
      </c>
    </row>
    <row customHeight="1" ht="11.25">
      <c r="A134" s="375" t="s">
        <v>16</v>
      </c>
      <c r="B134" s="0" t="s">
        <v>3443</v>
      </c>
      <c r="C134" s="0" t="s">
        <v>3444</v>
      </c>
      <c r="D134" s="0" t="s">
        <v>3454</v>
      </c>
      <c r="E134" s="0" t="s">
        <v>3455</v>
      </c>
      <c r="F134" s="0" t="s">
        <v>3120</v>
      </c>
      <c r="G134" s="0" t="s">
        <v>3456</v>
      </c>
    </row>
    <row customHeight="1" ht="11.25">
      <c r="A135" s="375" t="s">
        <v>16</v>
      </c>
      <c r="B135" s="0" t="s">
        <v>3443</v>
      </c>
      <c r="C135" s="0" t="s">
        <v>3444</v>
      </c>
      <c r="D135" s="0" t="s">
        <v>3457</v>
      </c>
      <c r="E135" s="0" t="s">
        <v>3458</v>
      </c>
      <c r="F135" s="0" t="s">
        <v>3120</v>
      </c>
      <c r="G135" s="0" t="s">
        <v>3459</v>
      </c>
    </row>
    <row customHeight="1" ht="11.25">
      <c r="A136" s="375" t="s">
        <v>16</v>
      </c>
      <c r="B136" s="0" t="s">
        <v>3443</v>
      </c>
      <c r="C136" s="0" t="s">
        <v>3444</v>
      </c>
      <c r="D136" s="0" t="s">
        <v>3460</v>
      </c>
      <c r="E136" s="0" t="s">
        <v>3461</v>
      </c>
      <c r="F136" s="0" t="s">
        <v>3120</v>
      </c>
      <c r="G136" s="0" t="s">
        <v>3462</v>
      </c>
    </row>
    <row customHeight="1" ht="11.25">
      <c r="A137" s="375" t="s">
        <v>16</v>
      </c>
      <c r="B137" s="0" t="s">
        <v>3443</v>
      </c>
      <c r="C137" s="0" t="s">
        <v>3444</v>
      </c>
      <c r="D137" s="0" t="s">
        <v>3443</v>
      </c>
      <c r="E137" s="0" t="s">
        <v>3444</v>
      </c>
      <c r="F137" s="0" t="s">
        <v>3117</v>
      </c>
      <c r="G137" s="0" t="s">
        <v>3463</v>
      </c>
    </row>
    <row customHeight="1" ht="11.25">
      <c r="A138" s="375" t="s">
        <v>16</v>
      </c>
      <c r="B138" s="0" t="s">
        <v>3443</v>
      </c>
      <c r="C138" s="0" t="s">
        <v>3444</v>
      </c>
      <c r="D138" s="0" t="s">
        <v>3464</v>
      </c>
      <c r="E138" s="0" t="s">
        <v>3465</v>
      </c>
      <c r="F138" s="0" t="s">
        <v>3120</v>
      </c>
      <c r="G138" s="0" t="s">
        <v>3466</v>
      </c>
    </row>
    <row customHeight="1" ht="11.25">
      <c r="A139" s="375" t="s">
        <v>16</v>
      </c>
      <c r="B139" s="0" t="s">
        <v>3467</v>
      </c>
      <c r="C139" s="0" t="s">
        <v>3468</v>
      </c>
      <c r="D139" s="0" t="s">
        <v>3467</v>
      </c>
      <c r="E139" s="0" t="s">
        <v>3468</v>
      </c>
      <c r="F139" s="0" t="s">
        <v>3469</v>
      </c>
      <c r="G139" s="0" t="s">
        <v>3470</v>
      </c>
    </row>
    <row customHeight="1" ht="11.25">
      <c r="A140" s="375" t="s">
        <v>16</v>
      </c>
      <c r="B140" s="0" t="s">
        <v>101</v>
      </c>
      <c r="C140" s="0" t="s">
        <v>103</v>
      </c>
      <c r="D140" s="0" t="s">
        <v>101</v>
      </c>
      <c r="E140" s="0" t="s">
        <v>103</v>
      </c>
      <c r="F140" s="0" t="s">
        <v>3469</v>
      </c>
      <c r="G140" s="0" t="s">
        <v>102</v>
      </c>
    </row>
    <row customHeight="1" ht="11.25">
      <c r="A141" s="375" t="s">
        <v>16</v>
      </c>
      <c r="B141" s="0" t="s">
        <v>3471</v>
      </c>
      <c r="C141" s="0" t="s">
        <v>3472</v>
      </c>
      <c r="D141" s="0" t="s">
        <v>3471</v>
      </c>
      <c r="E141" s="0" t="s">
        <v>3472</v>
      </c>
      <c r="F141" s="0" t="s">
        <v>3469</v>
      </c>
      <c r="G141" s="0" t="s">
        <v>3473</v>
      </c>
    </row>
    <row customHeight="1" ht="11.25">
      <c r="A142" s="375" t="s">
        <v>16</v>
      </c>
      <c r="B142" s="0" t="s">
        <v>3474</v>
      </c>
      <c r="C142" s="0" t="s">
        <v>3475</v>
      </c>
      <c r="D142" s="0" t="s">
        <v>3474</v>
      </c>
      <c r="E142" s="0" t="s">
        <v>3475</v>
      </c>
      <c r="F142" s="0" t="s">
        <v>3469</v>
      </c>
      <c r="G142" s="0" t="s">
        <v>3476</v>
      </c>
    </row>
    <row customHeight="1" ht="11.25">
      <c r="A143" s="375" t="s">
        <v>16</v>
      </c>
      <c r="B143" s="0" t="s">
        <v>3477</v>
      </c>
      <c r="C143" s="0" t="s">
        <v>3478</v>
      </c>
      <c r="D143" s="0" t="s">
        <v>3477</v>
      </c>
      <c r="E143" s="0" t="s">
        <v>3478</v>
      </c>
      <c r="F143" s="0" t="s">
        <v>3469</v>
      </c>
      <c r="G143" s="0" t="s">
        <v>3479</v>
      </c>
    </row>
    <row customHeight="1" ht="11.25">
      <c r="A144" s="375" t="s">
        <v>16</v>
      </c>
      <c r="B144" s="0" t="s">
        <v>3480</v>
      </c>
      <c r="C144" s="0" t="s">
        <v>3481</v>
      </c>
      <c r="D144" s="0" t="s">
        <v>3480</v>
      </c>
      <c r="E144" s="0" t="s">
        <v>3481</v>
      </c>
      <c r="F144" s="0" t="s">
        <v>3469</v>
      </c>
      <c r="G144" s="0" t="s">
        <v>3482</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E66D45-BE41-45E8-2B2E-0.E45C1F07}" mc:Ignorable="x14ac xr xr2 xr3">
  <sheetPr>
    <tabColor rgb="FFFFCC99"/>
  </sheetPr>
  <dimension ref="A1:I10"/>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3483</v>
      </c>
      <c r="B1" s="837" t="s">
        <v>3484</v>
      </c>
      <c r="C1" s="1161" t="s">
        <v>3485</v>
      </c>
      <c r="D1" s="837" t="s">
        <v>3486</v>
      </c>
      <c r="E1" s="837" t="s">
        <v>3487</v>
      </c>
      <c r="F1" s="1161" t="s">
        <v>3488</v>
      </c>
      <c r="G1" s="1161" t="s">
        <v>3489</v>
      </c>
      <c r="H1" s="1161" t="s">
        <v>3490</v>
      </c>
      <c r="I1" s="1161" t="s">
        <v>3491</v>
      </c>
    </row>
    <row customHeight="1" ht="11.25">
      <c r="A2" s="1693" t="s">
        <v>111</v>
      </c>
      <c r="B2" s="1693" t="s">
        <v>3492</v>
      </c>
      <c r="C2" s="1693" t="s">
        <v>28</v>
      </c>
      <c r="D2" s="1693" t="s">
        <v>1163</v>
      </c>
      <c r="E2" s="1693" t="s">
        <v>1168</v>
      </c>
      <c r="F2" s="1693" t="s">
        <v>28</v>
      </c>
      <c r="G2" s="1693" t="s">
        <v>28</v>
      </c>
      <c r="H2" s="1693" t="s">
        <v>28</v>
      </c>
      <c r="I2" s="1693" t="s">
        <v>28</v>
      </c>
    </row>
    <row customHeight="1" ht="11.25">
      <c r="A3" s="1693" t="s">
        <v>112</v>
      </c>
      <c r="B3" s="1693" t="s">
        <v>3493</v>
      </c>
      <c r="C3" s="1693" t="s">
        <v>28</v>
      </c>
      <c r="D3" s="1693" t="s">
        <v>3494</v>
      </c>
      <c r="E3" s="1693" t="s">
        <v>3495</v>
      </c>
      <c r="F3" s="1693" t="s">
        <v>28</v>
      </c>
      <c r="G3" s="1693" t="s">
        <v>28</v>
      </c>
      <c r="H3" s="1693" t="s">
        <v>28</v>
      </c>
      <c r="I3" s="1693" t="s">
        <v>28</v>
      </c>
    </row>
    <row customHeight="1" ht="11.25">
      <c r="A4" s="1693" t="s">
        <v>92</v>
      </c>
      <c r="B4" s="1693" t="s">
        <v>3496</v>
      </c>
      <c r="C4" s="1693" t="s">
        <v>28</v>
      </c>
      <c r="D4" s="1693" t="s">
        <v>3497</v>
      </c>
      <c r="E4" s="1693" t="s">
        <v>3498</v>
      </c>
      <c r="F4" s="1693" t="s">
        <v>28</v>
      </c>
      <c r="G4" s="1693" t="s">
        <v>28</v>
      </c>
      <c r="H4" s="1693" t="s">
        <v>28</v>
      </c>
      <c r="I4" s="1693" t="s">
        <v>28</v>
      </c>
    </row>
    <row customHeight="1" ht="11.25">
      <c r="A5" s="1693" t="s">
        <v>93</v>
      </c>
      <c r="B5" s="1693" t="s">
        <v>3499</v>
      </c>
      <c r="C5" s="1693" t="s">
        <v>28</v>
      </c>
      <c r="D5" s="1693" t="s">
        <v>3500</v>
      </c>
      <c r="E5" s="1693" t="s">
        <v>1164</v>
      </c>
      <c r="F5" s="1693" t="s">
        <v>28</v>
      </c>
      <c r="G5" s="1693" t="s">
        <v>28</v>
      </c>
      <c r="H5" s="1693" t="s">
        <v>28</v>
      </c>
      <c r="I5" s="1693" t="s">
        <v>28</v>
      </c>
    </row>
    <row customHeight="1" ht="11.25">
      <c r="A6" s="1693" t="s">
        <v>113</v>
      </c>
      <c r="B6" s="1693" t="s">
        <v>3501</v>
      </c>
      <c r="C6" s="1693" t="s">
        <v>28</v>
      </c>
      <c r="D6" s="1693" t="s">
        <v>3502</v>
      </c>
      <c r="E6" s="1693" t="s">
        <v>1164</v>
      </c>
      <c r="F6" s="1693" t="s">
        <v>28</v>
      </c>
      <c r="G6" s="1693" t="s">
        <v>28</v>
      </c>
      <c r="H6" s="1693" t="s">
        <v>28</v>
      </c>
      <c r="I6" s="1693" t="s">
        <v>28</v>
      </c>
    </row>
    <row customHeight="1" ht="11.25">
      <c r="A7" s="1693" t="s">
        <v>94</v>
      </c>
      <c r="B7" s="1693" t="s">
        <v>3503</v>
      </c>
      <c r="C7" s="1693" t="s">
        <v>28</v>
      </c>
      <c r="D7" s="1693" t="s">
        <v>1165</v>
      </c>
      <c r="E7" s="1693" t="s">
        <v>1168</v>
      </c>
      <c r="F7" s="1693" t="s">
        <v>28</v>
      </c>
      <c r="G7" s="1693" t="s">
        <v>28</v>
      </c>
      <c r="H7" s="1693" t="s">
        <v>28</v>
      </c>
      <c r="I7" s="1693" t="s">
        <v>28</v>
      </c>
    </row>
    <row customHeight="1" ht="11.25">
      <c r="A8" s="1693" t="s">
        <v>95</v>
      </c>
      <c r="B8" s="1693" t="s">
        <v>3504</v>
      </c>
      <c r="C8" s="1693" t="s">
        <v>28</v>
      </c>
      <c r="D8" s="1693" t="s">
        <v>3497</v>
      </c>
      <c r="E8" s="1693" t="s">
        <v>1170</v>
      </c>
      <c r="F8" s="1693" t="s">
        <v>28</v>
      </c>
      <c r="G8" s="1693" t="s">
        <v>28</v>
      </c>
      <c r="H8" s="1693" t="s">
        <v>28</v>
      </c>
      <c r="I8" s="1693" t="s">
        <v>28</v>
      </c>
    </row>
    <row customHeight="1" ht="11.25">
      <c r="A9" s="1693" t="s">
        <v>114</v>
      </c>
      <c r="B9" s="1693" t="s">
        <v>3505</v>
      </c>
      <c r="C9" s="1693" t="s">
        <v>28</v>
      </c>
      <c r="D9" s="1693" t="s">
        <v>3497</v>
      </c>
      <c r="E9" s="1693" t="s">
        <v>1170</v>
      </c>
      <c r="F9" s="1693" t="s">
        <v>28</v>
      </c>
      <c r="G9" s="1693" t="s">
        <v>28</v>
      </c>
      <c r="H9" s="1693" t="s">
        <v>28</v>
      </c>
      <c r="I9" s="1693" t="s">
        <v>28</v>
      </c>
    </row>
    <row customHeight="1" ht="11.25">
      <c r="A10" s="1693" t="s">
        <v>150</v>
      </c>
      <c r="B10" s="1693" t="s">
        <v>3506</v>
      </c>
      <c r="C10" s="1693" t="s">
        <v>28</v>
      </c>
      <c r="D10" s="1693" t="s">
        <v>3507</v>
      </c>
      <c r="E10" s="1693" t="s">
        <v>3508</v>
      </c>
      <c r="F10" s="1693" t="s">
        <v>28</v>
      </c>
      <c r="G10" s="1693" t="s">
        <v>28</v>
      </c>
      <c r="H10" s="1693" t="s">
        <v>28</v>
      </c>
      <c r="I10" s="1693" t="s">
        <v>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3A08D9-94B6-2C1F-6A36-0.A6272A78}"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55FB83-B761-2B35-358B-0.BEACE36A}"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132</v>
      </c>
      <c r="B1" s="185" t="s">
        <v>3509</v>
      </c>
    </row>
    <row customHeight="1" ht="11.25">
      <c r="A2" s="185" t="s">
        <v>100</v>
      </c>
      <c r="B2" s="185" t="s">
        <v>101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9310CC-340B-FDBF-8B33-0.97FB3A5}"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3510</v>
      </c>
      <c r="B1" s="837" t="s">
        <v>3511</v>
      </c>
    </row>
    <row customHeight="1" ht="11.25">
      <c r="A2" s="837">
        <v>4213775</v>
      </c>
      <c r="B2" s="837" t="s">
        <v>1244</v>
      </c>
    </row>
    <row customHeight="1" ht="11.25">
      <c r="A3" s="837">
        <v>4213784</v>
      </c>
      <c r="B3" s="837" t="s">
        <v>162</v>
      </c>
    </row>
    <row customHeight="1" ht="11.25">
      <c r="A4" s="837">
        <v>4213781</v>
      </c>
      <c r="B4" s="837" t="s">
        <v>1269</v>
      </c>
    </row>
    <row customHeight="1" ht="11.25">
      <c r="A5" s="837">
        <v>4213776</v>
      </c>
      <c r="B5" s="837" t="s">
        <v>177</v>
      </c>
    </row>
    <row customHeight="1" ht="11.25">
      <c r="A6" s="837">
        <v>4213777</v>
      </c>
      <c r="B6" s="837" t="s">
        <v>183</v>
      </c>
    </row>
    <row customHeight="1" ht="11.25">
      <c r="A7" s="837">
        <v>4213778</v>
      </c>
      <c r="B7" s="837" t="s">
        <v>189</v>
      </c>
    </row>
    <row customHeight="1" ht="11.25">
      <c r="A8" s="837">
        <v>4213780</v>
      </c>
      <c r="B8" s="837" t="s">
        <v>195</v>
      </c>
    </row>
    <row customHeight="1" ht="11.25">
      <c r="A9" s="837">
        <v>4213779</v>
      </c>
      <c r="B9" s="837" t="s">
        <v>1409</v>
      </c>
    </row>
    <row customHeight="1" ht="11.25">
      <c r="A10" s="837">
        <v>4213783</v>
      </c>
      <c r="B10" s="837" t="s">
        <v>1424</v>
      </c>
    </row>
    <row customHeight="1" ht="11.25">
      <c r="A11" s="837">
        <v>4213782</v>
      </c>
      <c r="B11" s="837" t="s">
        <v>201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876295-860E-5AFF-6E39-0.6F89BE4F}"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3510</v>
      </c>
      <c r="B1" s="837" t="s">
        <v>3512</v>
      </c>
    </row>
    <row customHeight="1" ht="11.25">
      <c r="A2" s="837" t="s">
        <v>3513</v>
      </c>
      <c r="B2" s="837" t="s">
        <v>1522</v>
      </c>
    </row>
    <row customHeight="1" ht="11.25">
      <c r="A3" s="837" t="s">
        <v>3514</v>
      </c>
      <c r="B3" s="837" t="s">
        <v>1532</v>
      </c>
    </row>
    <row customHeight="1" ht="11.25">
      <c r="A4" s="837" t="s">
        <v>3515</v>
      </c>
      <c r="B4" s="837" t="s">
        <v>1541</v>
      </c>
    </row>
    <row customHeight="1" ht="11.25">
      <c r="A5" s="837" t="s">
        <v>3516</v>
      </c>
      <c r="B5" s="837" t="s">
        <v>1550</v>
      </c>
    </row>
    <row customHeight="1" ht="11.25">
      <c r="A6" s="837" t="s">
        <v>3517</v>
      </c>
      <c r="B6" s="837" t="s">
        <v>1556</v>
      </c>
    </row>
    <row customHeight="1" ht="11.25">
      <c r="A7" s="837" t="s">
        <v>3518</v>
      </c>
      <c r="B7" s="837" t="s">
        <v>1564</v>
      </c>
    </row>
    <row customHeight="1" ht="11.25">
      <c r="A8" s="837" t="s">
        <v>3519</v>
      </c>
      <c r="B8" s="837" t="s">
        <v>1571</v>
      </c>
    </row>
    <row customHeight="1" ht="11.25">
      <c r="A9" s="837" t="s">
        <v>3520</v>
      </c>
      <c r="B9" s="837" t="s">
        <v>1577</v>
      </c>
    </row>
    <row customHeight="1" ht="11.25">
      <c r="A10" s="837" t="s">
        <v>3521</v>
      </c>
      <c r="B10" s="837" t="s">
        <v>1581</v>
      </c>
    </row>
    <row customHeight="1" ht="11.25">
      <c r="A11" s="837" t="s">
        <v>3522</v>
      </c>
      <c r="B11" s="837" t="s">
        <v>1588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3A1295-FD1F-DD2A-7E85-0.509C85DC}" mc:Ignorable="x14ac xr xr2 xr3">
  <sheetPr>
    <tabColor rgb="FFFFCC99"/>
  </sheetPr>
  <dimension ref="A1:G144"/>
  <sheetViews>
    <sheetView topLeftCell="A1" showGridLines="0" workbookViewId="0">
      <selection activeCell="A1" sqref="A1"/>
    </sheetView>
  </sheetViews>
  <sheetFormatPr customHeight="1" defaultRowHeight="11.25"/>
  <sheetData>
    <row customHeight="1" ht="11.25">
      <c r="A1" s="375" t="s">
        <v>3105</v>
      </c>
      <c r="B1" s="375" t="s">
        <v>3106</v>
      </c>
      <c r="C1" s="375" t="s">
        <v>3107</v>
      </c>
      <c r="D1" s="375" t="s">
        <v>3108</v>
      </c>
      <c r="E1" s="0" t="s">
        <v>3109</v>
      </c>
      <c r="F1" s="0" t="s">
        <v>3110</v>
      </c>
      <c r="G1" s="0" t="s">
        <v>3111</v>
      </c>
    </row>
    <row customHeight="1" ht="11.25">
      <c r="A2" s="0" t="s">
        <v>16</v>
      </c>
      <c r="B2" s="0" t="s">
        <v>3112</v>
      </c>
      <c r="C2" s="0" t="s">
        <v>3113</v>
      </c>
      <c r="D2" s="0" t="s">
        <v>3112</v>
      </c>
      <c r="E2" s="0" t="s">
        <v>3113</v>
      </c>
      <c r="F2" s="0" t="s">
        <v>3114</v>
      </c>
      <c r="G2" s="0" t="s">
        <v>111</v>
      </c>
    </row>
    <row customHeight="1" ht="11.25">
      <c r="A3" s="0" t="s">
        <v>16</v>
      </c>
      <c r="B3" s="0" t="s">
        <v>3115</v>
      </c>
      <c r="C3" s="0" t="s">
        <v>3116</v>
      </c>
      <c r="D3" s="0" t="s">
        <v>3115</v>
      </c>
      <c r="E3" s="0" t="s">
        <v>3116</v>
      </c>
      <c r="F3" s="0" t="s">
        <v>3117</v>
      </c>
      <c r="G3" s="0" t="s">
        <v>112</v>
      </c>
    </row>
    <row customHeight="1" ht="11.25">
      <c r="A4" s="0" t="s">
        <v>16</v>
      </c>
      <c r="B4" s="0" t="s">
        <v>3115</v>
      </c>
      <c r="C4" s="0" t="s">
        <v>3116</v>
      </c>
      <c r="D4" s="0" t="s">
        <v>3118</v>
      </c>
      <c r="E4" s="0" t="s">
        <v>3119</v>
      </c>
      <c r="F4" s="0" t="s">
        <v>3120</v>
      </c>
      <c r="G4" s="0" t="s">
        <v>92</v>
      </c>
    </row>
    <row customHeight="1" ht="11.25">
      <c r="A5" s="0" t="s">
        <v>16</v>
      </c>
      <c r="B5" s="0" t="s">
        <v>3115</v>
      </c>
      <c r="C5" s="0" t="s">
        <v>3116</v>
      </c>
      <c r="D5" s="0" t="s">
        <v>3121</v>
      </c>
      <c r="E5" s="0" t="s">
        <v>3122</v>
      </c>
      <c r="F5" s="0" t="s">
        <v>3120</v>
      </c>
      <c r="G5" s="0" t="s">
        <v>93</v>
      </c>
    </row>
    <row customHeight="1" ht="11.25">
      <c r="A6" s="0" t="s">
        <v>16</v>
      </c>
      <c r="B6" s="0" t="s">
        <v>3115</v>
      </c>
      <c r="C6" s="0" t="s">
        <v>3116</v>
      </c>
      <c r="D6" s="0" t="s">
        <v>3123</v>
      </c>
      <c r="E6" s="0" t="s">
        <v>3124</v>
      </c>
      <c r="F6" s="0" t="s">
        <v>3120</v>
      </c>
      <c r="G6" s="0" t="s">
        <v>113</v>
      </c>
    </row>
    <row customHeight="1" ht="11.25">
      <c r="A7" s="0" t="s">
        <v>16</v>
      </c>
      <c r="B7" s="0" t="s">
        <v>3115</v>
      </c>
      <c r="C7" s="0" t="s">
        <v>3116</v>
      </c>
      <c r="D7" s="0" t="s">
        <v>3125</v>
      </c>
      <c r="E7" s="0" t="s">
        <v>3126</v>
      </c>
      <c r="F7" s="0" t="s">
        <v>3120</v>
      </c>
      <c r="G7" s="0" t="s">
        <v>94</v>
      </c>
    </row>
    <row customHeight="1" ht="11.25">
      <c r="A8" s="0" t="s">
        <v>16</v>
      </c>
      <c r="B8" s="0" t="s">
        <v>3127</v>
      </c>
      <c r="C8" s="0" t="s">
        <v>3128</v>
      </c>
      <c r="D8" s="0" t="s">
        <v>3127</v>
      </c>
      <c r="E8" s="0" t="s">
        <v>3128</v>
      </c>
      <c r="F8" s="0" t="s">
        <v>3114</v>
      </c>
      <c r="G8" s="0" t="s">
        <v>95</v>
      </c>
    </row>
    <row customHeight="1" ht="11.25">
      <c r="A9" s="0" t="s">
        <v>16</v>
      </c>
      <c r="B9" s="0" t="s">
        <v>3129</v>
      </c>
      <c r="C9" s="0" t="s">
        <v>3130</v>
      </c>
      <c r="D9" s="0" t="s">
        <v>3131</v>
      </c>
      <c r="E9" s="0" t="s">
        <v>3132</v>
      </c>
      <c r="F9" s="0" t="s">
        <v>3120</v>
      </c>
      <c r="G9" s="0" t="s">
        <v>114</v>
      </c>
    </row>
    <row customHeight="1" ht="11.25">
      <c r="A10" s="0" t="s">
        <v>16</v>
      </c>
      <c r="B10" s="0" t="s">
        <v>3129</v>
      </c>
      <c r="C10" s="0" t="s">
        <v>3130</v>
      </c>
      <c r="D10" s="0" t="s">
        <v>3129</v>
      </c>
      <c r="E10" s="0" t="s">
        <v>3130</v>
      </c>
      <c r="F10" s="0" t="s">
        <v>3117</v>
      </c>
      <c r="G10" s="0" t="s">
        <v>150</v>
      </c>
    </row>
    <row customHeight="1" ht="11.25">
      <c r="A11" s="0" t="s">
        <v>16</v>
      </c>
      <c r="B11" s="0" t="s">
        <v>3129</v>
      </c>
      <c r="C11" s="0" t="s">
        <v>3130</v>
      </c>
      <c r="D11" s="0" t="s">
        <v>3133</v>
      </c>
      <c r="E11" s="0" t="s">
        <v>3134</v>
      </c>
      <c r="F11" s="0" t="s">
        <v>3120</v>
      </c>
      <c r="G11" s="0" t="s">
        <v>151</v>
      </c>
    </row>
    <row customHeight="1" ht="11.25">
      <c r="A12" s="0" t="s">
        <v>16</v>
      </c>
      <c r="B12" s="0" t="s">
        <v>3129</v>
      </c>
      <c r="C12" s="0" t="s">
        <v>3130</v>
      </c>
      <c r="D12" s="0" t="s">
        <v>3135</v>
      </c>
      <c r="E12" s="0" t="s">
        <v>3136</v>
      </c>
      <c r="F12" s="0" t="s">
        <v>3137</v>
      </c>
      <c r="G12" s="0" t="s">
        <v>152</v>
      </c>
    </row>
    <row customHeight="1" ht="11.25">
      <c r="A13" s="0" t="s">
        <v>16</v>
      </c>
      <c r="B13" s="0" t="s">
        <v>3138</v>
      </c>
      <c r="C13" s="0" t="s">
        <v>3139</v>
      </c>
      <c r="D13" s="0" t="s">
        <v>3138</v>
      </c>
      <c r="E13" s="0" t="s">
        <v>3139</v>
      </c>
      <c r="F13" s="0" t="s">
        <v>3114</v>
      </c>
      <c r="G13" s="0" t="s">
        <v>153</v>
      </c>
    </row>
    <row customHeight="1" ht="11.25">
      <c r="A14" s="0" t="s">
        <v>16</v>
      </c>
      <c r="B14" s="0" t="s">
        <v>3140</v>
      </c>
      <c r="C14" s="0" t="s">
        <v>3141</v>
      </c>
      <c r="D14" s="0" t="s">
        <v>3142</v>
      </c>
      <c r="E14" s="0" t="s">
        <v>3143</v>
      </c>
      <c r="F14" s="0" t="s">
        <v>3120</v>
      </c>
      <c r="G14" s="0" t="s">
        <v>154</v>
      </c>
    </row>
    <row customHeight="1" ht="11.25">
      <c r="A15" s="0" t="s">
        <v>16</v>
      </c>
      <c r="B15" s="0" t="s">
        <v>3140</v>
      </c>
      <c r="C15" s="0" t="s">
        <v>3141</v>
      </c>
      <c r="D15" s="0" t="s">
        <v>3144</v>
      </c>
      <c r="E15" s="0" t="s">
        <v>3145</v>
      </c>
      <c r="F15" s="0" t="s">
        <v>3120</v>
      </c>
      <c r="G15" s="0" t="s">
        <v>155</v>
      </c>
    </row>
    <row customHeight="1" ht="11.25">
      <c r="A16" s="0" t="s">
        <v>16</v>
      </c>
      <c r="B16" s="0" t="s">
        <v>3140</v>
      </c>
      <c r="C16" s="0" t="s">
        <v>3141</v>
      </c>
      <c r="D16" s="0" t="s">
        <v>3140</v>
      </c>
      <c r="E16" s="0" t="s">
        <v>3141</v>
      </c>
      <c r="F16" s="0" t="s">
        <v>3117</v>
      </c>
      <c r="G16" s="0" t="s">
        <v>1484</v>
      </c>
    </row>
    <row customHeight="1" ht="11.25">
      <c r="A17" s="0" t="s">
        <v>16</v>
      </c>
      <c r="B17" s="0" t="s">
        <v>3140</v>
      </c>
      <c r="C17" s="0" t="s">
        <v>3141</v>
      </c>
      <c r="D17" s="0" t="s">
        <v>3146</v>
      </c>
      <c r="E17" s="0" t="s">
        <v>3147</v>
      </c>
      <c r="F17" s="0" t="s">
        <v>3120</v>
      </c>
      <c r="G17" s="0" t="s">
        <v>1490</v>
      </c>
    </row>
    <row customHeight="1" ht="11.25">
      <c r="A18" s="0" t="s">
        <v>16</v>
      </c>
      <c r="B18" s="0" t="s">
        <v>3140</v>
      </c>
      <c r="C18" s="0" t="s">
        <v>3141</v>
      </c>
      <c r="D18" s="0" t="s">
        <v>3148</v>
      </c>
      <c r="E18" s="0" t="s">
        <v>3149</v>
      </c>
      <c r="F18" s="0" t="s">
        <v>3120</v>
      </c>
      <c r="G18" s="0" t="s">
        <v>1502</v>
      </c>
    </row>
    <row customHeight="1" ht="11.25">
      <c r="A19" s="0" t="s">
        <v>16</v>
      </c>
      <c r="B19" s="0" t="s">
        <v>3140</v>
      </c>
      <c r="C19" s="0" t="s">
        <v>3141</v>
      </c>
      <c r="D19" s="0" t="s">
        <v>3150</v>
      </c>
      <c r="E19" s="0" t="s">
        <v>3151</v>
      </c>
      <c r="F19" s="0" t="s">
        <v>3120</v>
      </c>
      <c r="G19" s="0" t="s">
        <v>1516</v>
      </c>
    </row>
    <row customHeight="1" ht="11.25">
      <c r="A20" s="0" t="s">
        <v>16</v>
      </c>
      <c r="B20" s="0" t="s">
        <v>3152</v>
      </c>
      <c r="C20" s="0" t="s">
        <v>3153</v>
      </c>
      <c r="D20" s="0" t="s">
        <v>3152</v>
      </c>
      <c r="E20" s="0" t="s">
        <v>3153</v>
      </c>
      <c r="F20" s="0" t="s">
        <v>3114</v>
      </c>
      <c r="G20" s="0" t="s">
        <v>1528</v>
      </c>
    </row>
    <row customHeight="1" ht="11.25">
      <c r="A21" s="0" t="s">
        <v>16</v>
      </c>
      <c r="B21" s="0" t="s">
        <v>3154</v>
      </c>
      <c r="C21" s="0" t="s">
        <v>3155</v>
      </c>
      <c r="D21" s="0" t="s">
        <v>3156</v>
      </c>
      <c r="E21" s="0" t="s">
        <v>3157</v>
      </c>
      <c r="F21" s="0" t="s">
        <v>3120</v>
      </c>
      <c r="G21" s="0" t="s">
        <v>1537</v>
      </c>
    </row>
    <row customHeight="1" ht="11.25">
      <c r="A22" s="0" t="s">
        <v>16</v>
      </c>
      <c r="B22" s="0" t="s">
        <v>3154</v>
      </c>
      <c r="C22" s="0" t="s">
        <v>3155</v>
      </c>
      <c r="D22" s="0" t="s">
        <v>3154</v>
      </c>
      <c r="E22" s="0" t="s">
        <v>3155</v>
      </c>
      <c r="F22" s="0" t="s">
        <v>3117</v>
      </c>
      <c r="G22" s="0" t="s">
        <v>1553</v>
      </c>
    </row>
    <row customHeight="1" ht="11.25">
      <c r="A23" s="0" t="s">
        <v>16</v>
      </c>
      <c r="B23" s="0" t="s">
        <v>3154</v>
      </c>
      <c r="C23" s="0" t="s">
        <v>3155</v>
      </c>
      <c r="D23" s="0" t="s">
        <v>3158</v>
      </c>
      <c r="E23" s="0" t="s">
        <v>3159</v>
      </c>
      <c r="F23" s="0" t="s">
        <v>3120</v>
      </c>
      <c r="G23" s="0" t="s">
        <v>1560</v>
      </c>
    </row>
    <row customHeight="1" ht="11.25">
      <c r="A24" s="0" t="s">
        <v>16</v>
      </c>
      <c r="B24" s="0" t="s">
        <v>3154</v>
      </c>
      <c r="C24" s="0" t="s">
        <v>3155</v>
      </c>
      <c r="D24" s="0" t="s">
        <v>3160</v>
      </c>
      <c r="E24" s="0" t="s">
        <v>3161</v>
      </c>
      <c r="F24" s="0" t="s">
        <v>3120</v>
      </c>
      <c r="G24" s="0" t="s">
        <v>1568</v>
      </c>
    </row>
    <row customHeight="1" ht="11.25">
      <c r="A25" s="0" t="s">
        <v>16</v>
      </c>
      <c r="B25" s="0" t="s">
        <v>3154</v>
      </c>
      <c r="C25" s="0" t="s">
        <v>3155</v>
      </c>
      <c r="D25" s="0" t="s">
        <v>3162</v>
      </c>
      <c r="E25" s="0" t="s">
        <v>3163</v>
      </c>
      <c r="F25" s="0" t="s">
        <v>3120</v>
      </c>
      <c r="G25" s="0" t="s">
        <v>1575</v>
      </c>
    </row>
    <row customHeight="1" ht="11.25">
      <c r="A26" s="0" t="s">
        <v>16</v>
      </c>
      <c r="B26" s="0" t="s">
        <v>3154</v>
      </c>
      <c r="C26" s="0" t="s">
        <v>3155</v>
      </c>
      <c r="D26" s="0" t="s">
        <v>3164</v>
      </c>
      <c r="E26" s="0" t="s">
        <v>3165</v>
      </c>
      <c r="F26" s="0" t="s">
        <v>3120</v>
      </c>
      <c r="G26" s="0" t="s">
        <v>1579</v>
      </c>
    </row>
    <row customHeight="1" ht="11.25">
      <c r="A27" s="0" t="s">
        <v>16</v>
      </c>
      <c r="B27" s="0" t="s">
        <v>3166</v>
      </c>
      <c r="C27" s="0" t="s">
        <v>3167</v>
      </c>
      <c r="D27" s="0" t="s">
        <v>3168</v>
      </c>
      <c r="E27" s="0" t="s">
        <v>3169</v>
      </c>
      <c r="F27" s="0" t="s">
        <v>3120</v>
      </c>
      <c r="G27" s="0" t="s">
        <v>1584</v>
      </c>
    </row>
    <row customHeight="1" ht="11.25">
      <c r="A28" s="0" t="s">
        <v>16</v>
      </c>
      <c r="B28" s="0" t="s">
        <v>3166</v>
      </c>
      <c r="C28" s="0" t="s">
        <v>3167</v>
      </c>
      <c r="D28" s="0" t="s">
        <v>3170</v>
      </c>
      <c r="E28" s="0" t="s">
        <v>3171</v>
      </c>
      <c r="F28" s="0" t="s">
        <v>3120</v>
      </c>
      <c r="G28" s="0" t="s">
        <v>1591</v>
      </c>
    </row>
    <row customHeight="1" ht="11.25">
      <c r="A29" s="0" t="s">
        <v>16</v>
      </c>
      <c r="B29" s="0" t="s">
        <v>3166</v>
      </c>
      <c r="C29" s="0" t="s">
        <v>3167</v>
      </c>
      <c r="D29" s="0" t="s">
        <v>3172</v>
      </c>
      <c r="E29" s="0" t="s">
        <v>3173</v>
      </c>
      <c r="F29" s="0" t="s">
        <v>3120</v>
      </c>
      <c r="G29" s="0" t="s">
        <v>1593</v>
      </c>
    </row>
    <row customHeight="1" ht="11.25">
      <c r="A30" s="0" t="s">
        <v>16</v>
      </c>
      <c r="B30" s="0" t="s">
        <v>3166</v>
      </c>
      <c r="C30" s="0" t="s">
        <v>3167</v>
      </c>
      <c r="D30" s="0" t="s">
        <v>3174</v>
      </c>
      <c r="E30" s="0" t="s">
        <v>3175</v>
      </c>
      <c r="F30" s="0" t="s">
        <v>3176</v>
      </c>
      <c r="G30" s="0" t="s">
        <v>1596</v>
      </c>
    </row>
    <row customHeight="1" ht="11.25">
      <c r="A31" s="0" t="s">
        <v>16</v>
      </c>
      <c r="B31" s="0" t="s">
        <v>3166</v>
      </c>
      <c r="C31" s="0" t="s">
        <v>3167</v>
      </c>
      <c r="D31" s="0" t="s">
        <v>3166</v>
      </c>
      <c r="E31" s="0" t="s">
        <v>3167</v>
      </c>
      <c r="F31" s="0" t="s">
        <v>3117</v>
      </c>
      <c r="G31" s="0" t="s">
        <v>1602</v>
      </c>
    </row>
    <row customHeight="1" ht="11.25">
      <c r="A32" s="0" t="s">
        <v>16</v>
      </c>
      <c r="B32" s="0" t="s">
        <v>3166</v>
      </c>
      <c r="C32" s="0" t="s">
        <v>3167</v>
      </c>
      <c r="D32" s="0" t="s">
        <v>3177</v>
      </c>
      <c r="E32" s="0" t="s">
        <v>3178</v>
      </c>
      <c r="F32" s="0" t="s">
        <v>3120</v>
      </c>
      <c r="G32" s="0" t="s">
        <v>1604</v>
      </c>
    </row>
    <row customHeight="1" ht="11.25">
      <c r="A33" s="0" t="s">
        <v>16</v>
      </c>
      <c r="B33" s="0" t="s">
        <v>3179</v>
      </c>
      <c r="C33" s="0" t="s">
        <v>3180</v>
      </c>
      <c r="D33" s="0" t="s">
        <v>3179</v>
      </c>
      <c r="E33" s="0" t="s">
        <v>3180</v>
      </c>
      <c r="F33" s="0" t="s">
        <v>3114</v>
      </c>
      <c r="G33" s="0" t="s">
        <v>1606</v>
      </c>
    </row>
    <row customHeight="1" ht="11.25">
      <c r="A34" s="0" t="s">
        <v>16</v>
      </c>
      <c r="B34" s="0" t="s">
        <v>3181</v>
      </c>
      <c r="C34" s="0" t="s">
        <v>3182</v>
      </c>
      <c r="D34" s="0" t="s">
        <v>3183</v>
      </c>
      <c r="E34" s="0" t="s">
        <v>3184</v>
      </c>
      <c r="F34" s="0" t="s">
        <v>3120</v>
      </c>
      <c r="G34" s="0" t="s">
        <v>1608</v>
      </c>
    </row>
    <row customHeight="1" ht="11.25">
      <c r="A35" s="0" t="s">
        <v>16</v>
      </c>
      <c r="B35" s="0" t="s">
        <v>3181</v>
      </c>
      <c r="C35" s="0" t="s">
        <v>3182</v>
      </c>
      <c r="D35" s="0" t="s">
        <v>3185</v>
      </c>
      <c r="E35" s="0" t="s">
        <v>3186</v>
      </c>
      <c r="F35" s="0" t="s">
        <v>3120</v>
      </c>
      <c r="G35" s="0" t="s">
        <v>1613</v>
      </c>
    </row>
    <row customHeight="1" ht="11.25">
      <c r="A36" s="0" t="s">
        <v>16</v>
      </c>
      <c r="B36" s="0" t="s">
        <v>3181</v>
      </c>
      <c r="C36" s="0" t="s">
        <v>3182</v>
      </c>
      <c r="D36" s="0" t="s">
        <v>3187</v>
      </c>
      <c r="E36" s="0" t="s">
        <v>3188</v>
      </c>
      <c r="F36" s="0" t="s">
        <v>3120</v>
      </c>
      <c r="G36" s="0" t="s">
        <v>1618</v>
      </c>
    </row>
    <row customHeight="1" ht="11.25">
      <c r="A37" s="0" t="s">
        <v>16</v>
      </c>
      <c r="B37" s="0" t="s">
        <v>3181</v>
      </c>
      <c r="C37" s="0" t="s">
        <v>3182</v>
      </c>
      <c r="D37" s="0" t="s">
        <v>3181</v>
      </c>
      <c r="E37" s="0" t="s">
        <v>3182</v>
      </c>
      <c r="F37" s="0" t="s">
        <v>3117</v>
      </c>
      <c r="G37" s="0" t="s">
        <v>1622</v>
      </c>
    </row>
    <row customHeight="1" ht="11.25">
      <c r="A38" s="0" t="s">
        <v>16</v>
      </c>
      <c r="B38" s="0" t="s">
        <v>3181</v>
      </c>
      <c r="C38" s="0" t="s">
        <v>3182</v>
      </c>
      <c r="D38" s="0" t="s">
        <v>3189</v>
      </c>
      <c r="E38" s="0" t="s">
        <v>3190</v>
      </c>
      <c r="F38" s="0" t="s">
        <v>3120</v>
      </c>
      <c r="G38" s="0" t="s">
        <v>1630</v>
      </c>
    </row>
    <row customHeight="1" ht="11.25">
      <c r="A39" s="0" t="s">
        <v>16</v>
      </c>
      <c r="B39" s="0" t="s">
        <v>3181</v>
      </c>
      <c r="C39" s="0" t="s">
        <v>3182</v>
      </c>
      <c r="D39" s="0" t="s">
        <v>3191</v>
      </c>
      <c r="E39" s="0" t="s">
        <v>3192</v>
      </c>
      <c r="F39" s="0" t="s">
        <v>3120</v>
      </c>
      <c r="G39" s="0" t="s">
        <v>1636</v>
      </c>
    </row>
    <row customHeight="1" ht="11.25">
      <c r="A40" s="0" t="s">
        <v>16</v>
      </c>
      <c r="B40" s="0" t="s">
        <v>3181</v>
      </c>
      <c r="C40" s="0" t="s">
        <v>3182</v>
      </c>
      <c r="D40" s="0" t="s">
        <v>3193</v>
      </c>
      <c r="E40" s="0" t="s">
        <v>3194</v>
      </c>
      <c r="F40" s="0" t="s">
        <v>3120</v>
      </c>
      <c r="G40" s="0" t="s">
        <v>1641</v>
      </c>
    </row>
    <row customHeight="1" ht="11.25">
      <c r="A41" s="0" t="s">
        <v>16</v>
      </c>
      <c r="B41" s="0" t="s">
        <v>3181</v>
      </c>
      <c r="C41" s="0" t="s">
        <v>3182</v>
      </c>
      <c r="D41" s="0" t="s">
        <v>3195</v>
      </c>
      <c r="E41" s="0" t="s">
        <v>3196</v>
      </c>
      <c r="F41" s="0" t="s">
        <v>3120</v>
      </c>
      <c r="G41" s="0" t="s">
        <v>1645</v>
      </c>
    </row>
    <row customHeight="1" ht="11.25">
      <c r="A42" s="0" t="s">
        <v>16</v>
      </c>
      <c r="B42" s="0" t="s">
        <v>3181</v>
      </c>
      <c r="C42" s="0" t="s">
        <v>3182</v>
      </c>
      <c r="D42" s="0" t="s">
        <v>3197</v>
      </c>
      <c r="E42" s="0" t="s">
        <v>3198</v>
      </c>
      <c r="F42" s="0" t="s">
        <v>3137</v>
      </c>
      <c r="G42" s="0" t="s">
        <v>1648</v>
      </c>
    </row>
    <row customHeight="1" ht="11.25">
      <c r="A43" s="0" t="s">
        <v>16</v>
      </c>
      <c r="B43" s="0" t="s">
        <v>3199</v>
      </c>
      <c r="C43" s="0" t="s">
        <v>3200</v>
      </c>
      <c r="D43" s="0" t="s">
        <v>3199</v>
      </c>
      <c r="E43" s="0" t="s">
        <v>3200</v>
      </c>
      <c r="F43" s="0" t="s">
        <v>3114</v>
      </c>
      <c r="G43" s="0" t="s">
        <v>1655</v>
      </c>
    </row>
    <row customHeight="1" ht="11.25">
      <c r="A44" s="0" t="s">
        <v>16</v>
      </c>
      <c r="B44" s="0" t="s">
        <v>3201</v>
      </c>
      <c r="C44" s="0" t="s">
        <v>3202</v>
      </c>
      <c r="D44" s="0" t="s">
        <v>3203</v>
      </c>
      <c r="E44" s="0" t="s">
        <v>3204</v>
      </c>
      <c r="F44" s="0" t="s">
        <v>3120</v>
      </c>
      <c r="G44" s="0" t="s">
        <v>1664</v>
      </c>
    </row>
    <row customHeight="1" ht="11.25">
      <c r="A45" s="0" t="s">
        <v>16</v>
      </c>
      <c r="B45" s="0" t="s">
        <v>3201</v>
      </c>
      <c r="C45" s="0" t="s">
        <v>3202</v>
      </c>
      <c r="D45" s="0" t="s">
        <v>3205</v>
      </c>
      <c r="E45" s="0" t="s">
        <v>3206</v>
      </c>
      <c r="F45" s="0" t="s">
        <v>3120</v>
      </c>
      <c r="G45" s="0" t="s">
        <v>1669</v>
      </c>
    </row>
    <row customHeight="1" ht="11.25">
      <c r="A46" s="0" t="s">
        <v>16</v>
      </c>
      <c r="B46" s="0" t="s">
        <v>3201</v>
      </c>
      <c r="C46" s="0" t="s">
        <v>3202</v>
      </c>
      <c r="D46" s="0" t="s">
        <v>3207</v>
      </c>
      <c r="E46" s="0" t="s">
        <v>3208</v>
      </c>
      <c r="F46" s="0" t="s">
        <v>3120</v>
      </c>
      <c r="G46" s="0" t="s">
        <v>1673</v>
      </c>
    </row>
    <row customHeight="1" ht="11.25">
      <c r="A47" s="0" t="s">
        <v>16</v>
      </c>
      <c r="B47" s="0" t="s">
        <v>3201</v>
      </c>
      <c r="C47" s="0" t="s">
        <v>3202</v>
      </c>
      <c r="D47" s="0" t="s">
        <v>3201</v>
      </c>
      <c r="E47" s="0" t="s">
        <v>3202</v>
      </c>
      <c r="F47" s="0" t="s">
        <v>3117</v>
      </c>
      <c r="G47" s="0" t="s">
        <v>1679</v>
      </c>
    </row>
    <row customHeight="1" ht="11.25">
      <c r="A48" s="0" t="s">
        <v>16</v>
      </c>
      <c r="B48" s="0" t="s">
        <v>3201</v>
      </c>
      <c r="C48" s="0" t="s">
        <v>3202</v>
      </c>
      <c r="D48" s="0" t="s">
        <v>3209</v>
      </c>
      <c r="E48" s="0" t="s">
        <v>3210</v>
      </c>
      <c r="F48" s="0" t="s">
        <v>3120</v>
      </c>
      <c r="G48" s="0" t="s">
        <v>1684</v>
      </c>
    </row>
    <row customHeight="1" ht="11.25">
      <c r="A49" s="0" t="s">
        <v>16</v>
      </c>
      <c r="B49" s="0" t="s">
        <v>3201</v>
      </c>
      <c r="C49" s="0" t="s">
        <v>3202</v>
      </c>
      <c r="D49" s="0" t="s">
        <v>3211</v>
      </c>
      <c r="E49" s="0" t="s">
        <v>3212</v>
      </c>
      <c r="F49" s="0" t="s">
        <v>3120</v>
      </c>
      <c r="G49" s="0" t="s">
        <v>1687</v>
      </c>
    </row>
    <row customHeight="1" ht="11.25">
      <c r="A50" s="0" t="s">
        <v>16</v>
      </c>
      <c r="B50" s="0" t="s">
        <v>3201</v>
      </c>
      <c r="C50" s="0" t="s">
        <v>3202</v>
      </c>
      <c r="D50" s="0" t="s">
        <v>3213</v>
      </c>
      <c r="E50" s="0" t="s">
        <v>3214</v>
      </c>
      <c r="F50" s="0" t="s">
        <v>3120</v>
      </c>
      <c r="G50" s="0" t="s">
        <v>1690</v>
      </c>
    </row>
    <row customHeight="1" ht="11.25">
      <c r="A51" s="0" t="s">
        <v>16</v>
      </c>
      <c r="B51" s="0" t="s">
        <v>3201</v>
      </c>
      <c r="C51" s="0" t="s">
        <v>3202</v>
      </c>
      <c r="D51" s="0" t="s">
        <v>3215</v>
      </c>
      <c r="E51" s="0" t="s">
        <v>3216</v>
      </c>
      <c r="F51" s="0" t="s">
        <v>3120</v>
      </c>
      <c r="G51" s="0" t="s">
        <v>1695</v>
      </c>
    </row>
    <row customHeight="1" ht="11.25">
      <c r="A52" s="0" t="s">
        <v>16</v>
      </c>
      <c r="B52" s="0" t="s">
        <v>3201</v>
      </c>
      <c r="C52" s="0" t="s">
        <v>3202</v>
      </c>
      <c r="D52" s="0" t="s">
        <v>3217</v>
      </c>
      <c r="E52" s="0" t="s">
        <v>3218</v>
      </c>
      <c r="F52" s="0" t="s">
        <v>3120</v>
      </c>
      <c r="G52" s="0" t="s">
        <v>1699</v>
      </c>
    </row>
    <row customHeight="1" ht="11.25">
      <c r="A53" s="0" t="s">
        <v>16</v>
      </c>
      <c r="B53" s="0" t="s">
        <v>3201</v>
      </c>
      <c r="C53" s="0" t="s">
        <v>3202</v>
      </c>
      <c r="D53" s="0" t="s">
        <v>3219</v>
      </c>
      <c r="E53" s="0" t="s">
        <v>3220</v>
      </c>
      <c r="F53" s="0" t="s">
        <v>3120</v>
      </c>
      <c r="G53" s="0" t="s">
        <v>1701</v>
      </c>
    </row>
    <row customHeight="1" ht="11.25">
      <c r="A54" s="0" t="s">
        <v>16</v>
      </c>
      <c r="B54" s="0" t="s">
        <v>3201</v>
      </c>
      <c r="C54" s="0" t="s">
        <v>3202</v>
      </c>
      <c r="D54" s="0" t="s">
        <v>3221</v>
      </c>
      <c r="E54" s="0" t="s">
        <v>3222</v>
      </c>
      <c r="F54" s="0" t="s">
        <v>3120</v>
      </c>
      <c r="G54" s="0" t="s">
        <v>1704</v>
      </c>
    </row>
    <row customHeight="1" ht="11.25">
      <c r="A55" s="0" t="s">
        <v>16</v>
      </c>
      <c r="B55" s="0" t="s">
        <v>3201</v>
      </c>
      <c r="C55" s="0" t="s">
        <v>3202</v>
      </c>
      <c r="D55" s="0" t="s">
        <v>3223</v>
      </c>
      <c r="E55" s="0" t="s">
        <v>3224</v>
      </c>
      <c r="F55" s="0" t="s">
        <v>3120</v>
      </c>
      <c r="G55" s="0" t="s">
        <v>1708</v>
      </c>
    </row>
    <row customHeight="1" ht="11.25">
      <c r="A56" s="0" t="s">
        <v>16</v>
      </c>
      <c r="B56" s="0" t="s">
        <v>3201</v>
      </c>
      <c r="C56" s="0" t="s">
        <v>3202</v>
      </c>
      <c r="D56" s="0" t="s">
        <v>3225</v>
      </c>
      <c r="E56" s="0" t="s">
        <v>3226</v>
      </c>
      <c r="F56" s="0" t="s">
        <v>3120</v>
      </c>
      <c r="G56" s="0" t="s">
        <v>1711</v>
      </c>
    </row>
    <row customHeight="1" ht="11.25">
      <c r="A57" s="0" t="s">
        <v>16</v>
      </c>
      <c r="B57" s="0" t="s">
        <v>3201</v>
      </c>
      <c r="C57" s="0" t="s">
        <v>3202</v>
      </c>
      <c r="D57" s="0" t="s">
        <v>3227</v>
      </c>
      <c r="E57" s="0" t="s">
        <v>3228</v>
      </c>
      <c r="F57" s="0" t="s">
        <v>3120</v>
      </c>
      <c r="G57" s="0" t="s">
        <v>1714</v>
      </c>
    </row>
    <row customHeight="1" ht="11.25">
      <c r="A58" s="0" t="s">
        <v>16</v>
      </c>
      <c r="B58" s="0" t="s">
        <v>3229</v>
      </c>
      <c r="C58" s="0" t="s">
        <v>3230</v>
      </c>
      <c r="D58" s="0" t="s">
        <v>3229</v>
      </c>
      <c r="E58" s="0" t="s">
        <v>3230</v>
      </c>
      <c r="F58" s="0" t="s">
        <v>3114</v>
      </c>
      <c r="G58" s="0" t="s">
        <v>1717</v>
      </c>
    </row>
    <row customHeight="1" ht="11.25">
      <c r="A59" s="0" t="s">
        <v>16</v>
      </c>
      <c r="B59" s="0" t="s">
        <v>3231</v>
      </c>
      <c r="C59" s="0" t="s">
        <v>3232</v>
      </c>
      <c r="D59" s="0" t="s">
        <v>3233</v>
      </c>
      <c r="E59" s="0" t="s">
        <v>3234</v>
      </c>
      <c r="F59" s="0" t="s">
        <v>3120</v>
      </c>
      <c r="G59" s="0" t="s">
        <v>1721</v>
      </c>
    </row>
    <row customHeight="1" ht="11.25">
      <c r="A60" s="0" t="s">
        <v>16</v>
      </c>
      <c r="B60" s="0" t="s">
        <v>3231</v>
      </c>
      <c r="C60" s="0" t="s">
        <v>3232</v>
      </c>
      <c r="D60" s="0" t="s">
        <v>3235</v>
      </c>
      <c r="E60" s="0" t="s">
        <v>3236</v>
      </c>
      <c r="F60" s="0" t="s">
        <v>3120</v>
      </c>
      <c r="G60" s="0" t="s">
        <v>1724</v>
      </c>
    </row>
    <row customHeight="1" ht="11.25">
      <c r="A61" s="0" t="s">
        <v>16</v>
      </c>
      <c r="B61" s="0" t="s">
        <v>3231</v>
      </c>
      <c r="C61" s="0" t="s">
        <v>3232</v>
      </c>
      <c r="D61" s="0" t="s">
        <v>3231</v>
      </c>
      <c r="E61" s="0" t="s">
        <v>3232</v>
      </c>
      <c r="F61" s="0" t="s">
        <v>3117</v>
      </c>
      <c r="G61" s="0" t="s">
        <v>3237</v>
      </c>
    </row>
    <row customHeight="1" ht="11.25">
      <c r="A62" s="0" t="s">
        <v>16</v>
      </c>
      <c r="B62" s="0" t="s">
        <v>3231</v>
      </c>
      <c r="C62" s="0" t="s">
        <v>3232</v>
      </c>
      <c r="D62" s="0" t="s">
        <v>3238</v>
      </c>
      <c r="E62" s="0" t="s">
        <v>3239</v>
      </c>
      <c r="F62" s="0" t="s">
        <v>3120</v>
      </c>
      <c r="G62" s="0" t="s">
        <v>3240</v>
      </c>
    </row>
    <row customHeight="1" ht="11.25">
      <c r="A63" s="0" t="s">
        <v>16</v>
      </c>
      <c r="B63" s="0" t="s">
        <v>3231</v>
      </c>
      <c r="C63" s="0" t="s">
        <v>3232</v>
      </c>
      <c r="D63" s="0" t="s">
        <v>3241</v>
      </c>
      <c r="E63" s="0" t="s">
        <v>3242</v>
      </c>
      <c r="F63" s="0" t="s">
        <v>3120</v>
      </c>
      <c r="G63" s="0" t="s">
        <v>3243</v>
      </c>
    </row>
    <row customHeight="1" ht="11.25">
      <c r="A64" s="0" t="s">
        <v>16</v>
      </c>
      <c r="B64" s="0" t="s">
        <v>3231</v>
      </c>
      <c r="C64" s="0" t="s">
        <v>3232</v>
      </c>
      <c r="D64" s="0" t="s">
        <v>3244</v>
      </c>
      <c r="E64" s="0" t="s">
        <v>3245</v>
      </c>
      <c r="F64" s="0" t="s">
        <v>3120</v>
      </c>
      <c r="G64" s="0" t="s">
        <v>3246</v>
      </c>
    </row>
    <row customHeight="1" ht="11.25">
      <c r="A65" s="0" t="s">
        <v>16</v>
      </c>
      <c r="B65" s="0" t="s">
        <v>3231</v>
      </c>
      <c r="C65" s="0" t="s">
        <v>3232</v>
      </c>
      <c r="D65" s="0" t="s">
        <v>3247</v>
      </c>
      <c r="E65" s="0" t="s">
        <v>3248</v>
      </c>
      <c r="F65" s="0" t="s">
        <v>3120</v>
      </c>
      <c r="G65" s="0" t="s">
        <v>3249</v>
      </c>
    </row>
    <row customHeight="1" ht="11.25">
      <c r="A66" s="0" t="s">
        <v>16</v>
      </c>
      <c r="B66" s="0" t="s">
        <v>3231</v>
      </c>
      <c r="C66" s="0" t="s">
        <v>3232</v>
      </c>
      <c r="D66" s="0" t="s">
        <v>3250</v>
      </c>
      <c r="E66" s="0" t="s">
        <v>3251</v>
      </c>
      <c r="F66" s="0" t="s">
        <v>3120</v>
      </c>
      <c r="G66" s="0" t="s">
        <v>3252</v>
      </c>
    </row>
    <row customHeight="1" ht="11.25">
      <c r="A67" s="0" t="s">
        <v>16</v>
      </c>
      <c r="B67" s="0" t="s">
        <v>3231</v>
      </c>
      <c r="C67" s="0" t="s">
        <v>3232</v>
      </c>
      <c r="D67" s="0" t="s">
        <v>3253</v>
      </c>
      <c r="E67" s="0" t="s">
        <v>3254</v>
      </c>
      <c r="F67" s="0" t="s">
        <v>3137</v>
      </c>
      <c r="G67" s="0" t="s">
        <v>2043</v>
      </c>
    </row>
    <row customHeight="1" ht="11.25">
      <c r="A68" s="0" t="s">
        <v>16</v>
      </c>
      <c r="B68" s="0" t="s">
        <v>3255</v>
      </c>
      <c r="C68" s="0" t="s">
        <v>3256</v>
      </c>
      <c r="D68" s="0" t="s">
        <v>3255</v>
      </c>
      <c r="E68" s="0" t="s">
        <v>3256</v>
      </c>
      <c r="F68" s="0" t="s">
        <v>3114</v>
      </c>
      <c r="G68" s="0" t="s">
        <v>3257</v>
      </c>
    </row>
    <row customHeight="1" ht="11.25">
      <c r="A69" s="0" t="s">
        <v>16</v>
      </c>
      <c r="B69" s="0" t="s">
        <v>3258</v>
      </c>
      <c r="C69" s="0" t="s">
        <v>3259</v>
      </c>
      <c r="D69" s="0" t="s">
        <v>3260</v>
      </c>
      <c r="E69" s="0" t="s">
        <v>3261</v>
      </c>
      <c r="F69" s="0" t="s">
        <v>3120</v>
      </c>
      <c r="G69" s="0" t="s">
        <v>2246</v>
      </c>
    </row>
    <row customHeight="1" ht="11.25">
      <c r="A70" s="0" t="s">
        <v>16</v>
      </c>
      <c r="B70" s="0" t="s">
        <v>3258</v>
      </c>
      <c r="C70" s="0" t="s">
        <v>3259</v>
      </c>
      <c r="D70" s="0" t="s">
        <v>3258</v>
      </c>
      <c r="E70" s="0" t="s">
        <v>3259</v>
      </c>
      <c r="F70" s="0" t="s">
        <v>3117</v>
      </c>
      <c r="G70" s="0" t="s">
        <v>3262</v>
      </c>
    </row>
    <row customHeight="1" ht="11.25">
      <c r="A71" s="0" t="s">
        <v>16</v>
      </c>
      <c r="B71" s="0" t="s">
        <v>3258</v>
      </c>
      <c r="C71" s="0" t="s">
        <v>3259</v>
      </c>
      <c r="D71" s="0" t="s">
        <v>3263</v>
      </c>
      <c r="E71" s="0" t="s">
        <v>3264</v>
      </c>
      <c r="F71" s="0" t="s">
        <v>3120</v>
      </c>
      <c r="G71" s="0" t="s">
        <v>3265</v>
      </c>
    </row>
    <row customHeight="1" ht="11.25">
      <c r="A72" s="0" t="s">
        <v>16</v>
      </c>
      <c r="B72" s="0" t="s">
        <v>3258</v>
      </c>
      <c r="C72" s="0" t="s">
        <v>3259</v>
      </c>
      <c r="D72" s="0" t="s">
        <v>3266</v>
      </c>
      <c r="E72" s="0" t="s">
        <v>3267</v>
      </c>
      <c r="F72" s="0" t="s">
        <v>3120</v>
      </c>
      <c r="G72" s="0" t="s">
        <v>3268</v>
      </c>
    </row>
    <row customHeight="1" ht="11.25">
      <c r="A73" s="0" t="s">
        <v>16</v>
      </c>
      <c r="B73" s="0" t="s">
        <v>3258</v>
      </c>
      <c r="C73" s="0" t="s">
        <v>3259</v>
      </c>
      <c r="D73" s="0" t="s">
        <v>3269</v>
      </c>
      <c r="E73" s="0" t="s">
        <v>3270</v>
      </c>
      <c r="F73" s="0" t="s">
        <v>3120</v>
      </c>
      <c r="G73" s="0" t="s">
        <v>3271</v>
      </c>
    </row>
    <row customHeight="1" ht="11.25">
      <c r="A74" s="0" t="s">
        <v>16</v>
      </c>
      <c r="B74" s="0" t="s">
        <v>3258</v>
      </c>
      <c r="C74" s="0" t="s">
        <v>3259</v>
      </c>
      <c r="D74" s="0" t="s">
        <v>3272</v>
      </c>
      <c r="E74" s="0" t="s">
        <v>3273</v>
      </c>
      <c r="F74" s="0" t="s">
        <v>3120</v>
      </c>
      <c r="G74" s="0" t="s">
        <v>3274</v>
      </c>
    </row>
    <row customHeight="1" ht="11.25">
      <c r="A75" s="0" t="s">
        <v>16</v>
      </c>
      <c r="B75" s="0" t="s">
        <v>3258</v>
      </c>
      <c r="C75" s="0" t="s">
        <v>3259</v>
      </c>
      <c r="D75" s="0" t="s">
        <v>3275</v>
      </c>
      <c r="E75" s="0" t="s">
        <v>3276</v>
      </c>
      <c r="F75" s="0" t="s">
        <v>3176</v>
      </c>
      <c r="G75" s="0" t="s">
        <v>3277</v>
      </c>
    </row>
    <row customHeight="1" ht="11.25">
      <c r="A76" s="0" t="s">
        <v>16</v>
      </c>
      <c r="B76" s="0" t="s">
        <v>3278</v>
      </c>
      <c r="C76" s="0" t="s">
        <v>3279</v>
      </c>
      <c r="D76" s="0" t="s">
        <v>3278</v>
      </c>
      <c r="E76" s="0" t="s">
        <v>3279</v>
      </c>
      <c r="F76" s="0" t="s">
        <v>3114</v>
      </c>
      <c r="G76" s="0" t="s">
        <v>3280</v>
      </c>
    </row>
    <row customHeight="1" ht="11.25">
      <c r="A77" s="0" t="s">
        <v>16</v>
      </c>
      <c r="B77" s="0" t="s">
        <v>3281</v>
      </c>
      <c r="C77" s="0" t="s">
        <v>3282</v>
      </c>
      <c r="D77" s="0" t="s">
        <v>3281</v>
      </c>
      <c r="E77" s="0" t="s">
        <v>3282</v>
      </c>
      <c r="F77" s="0" t="s">
        <v>3114</v>
      </c>
      <c r="G77" s="0" t="s">
        <v>3283</v>
      </c>
    </row>
    <row customHeight="1" ht="11.25">
      <c r="A78" s="0" t="s">
        <v>16</v>
      </c>
      <c r="B78" s="0" t="s">
        <v>3284</v>
      </c>
      <c r="C78" s="0" t="s">
        <v>3285</v>
      </c>
      <c r="D78" s="0" t="s">
        <v>3284</v>
      </c>
      <c r="E78" s="0" t="s">
        <v>3285</v>
      </c>
      <c r="F78" s="0" t="s">
        <v>3114</v>
      </c>
      <c r="G78" s="0" t="s">
        <v>3286</v>
      </c>
    </row>
    <row customHeight="1" ht="11.25">
      <c r="A79" s="0" t="s">
        <v>16</v>
      </c>
      <c r="B79" s="0" t="s">
        <v>3287</v>
      </c>
      <c r="C79" s="0" t="s">
        <v>3288</v>
      </c>
      <c r="D79" s="0" t="s">
        <v>3287</v>
      </c>
      <c r="E79" s="0" t="s">
        <v>3288</v>
      </c>
      <c r="F79" s="0" t="s">
        <v>3114</v>
      </c>
      <c r="G79" s="0" t="s">
        <v>3289</v>
      </c>
    </row>
    <row customHeight="1" ht="11.25">
      <c r="A80" s="0" t="s">
        <v>16</v>
      </c>
      <c r="B80" s="0" t="s">
        <v>3290</v>
      </c>
      <c r="C80" s="0" t="s">
        <v>3291</v>
      </c>
      <c r="D80" s="0" t="s">
        <v>3292</v>
      </c>
      <c r="E80" s="0" t="s">
        <v>3293</v>
      </c>
      <c r="F80" s="0" t="s">
        <v>3120</v>
      </c>
      <c r="G80" s="0" t="s">
        <v>3294</v>
      </c>
    </row>
    <row customHeight="1" ht="11.25">
      <c r="A81" s="0" t="s">
        <v>16</v>
      </c>
      <c r="B81" s="0" t="s">
        <v>3290</v>
      </c>
      <c r="C81" s="0" t="s">
        <v>3291</v>
      </c>
      <c r="D81" s="0" t="s">
        <v>3295</v>
      </c>
      <c r="E81" s="0" t="s">
        <v>3296</v>
      </c>
      <c r="F81" s="0" t="s">
        <v>3120</v>
      </c>
      <c r="G81" s="0" t="s">
        <v>3297</v>
      </c>
    </row>
    <row customHeight="1" ht="11.25">
      <c r="A82" s="0" t="s">
        <v>16</v>
      </c>
      <c r="B82" s="0" t="s">
        <v>3290</v>
      </c>
      <c r="C82" s="0" t="s">
        <v>3291</v>
      </c>
      <c r="D82" s="0" t="s">
        <v>3290</v>
      </c>
      <c r="E82" s="0" t="s">
        <v>3291</v>
      </c>
      <c r="F82" s="0" t="s">
        <v>3117</v>
      </c>
      <c r="G82" s="0" t="s">
        <v>3298</v>
      </c>
    </row>
    <row customHeight="1" ht="11.25">
      <c r="A83" s="0" t="s">
        <v>16</v>
      </c>
      <c r="B83" s="0" t="s">
        <v>3290</v>
      </c>
      <c r="C83" s="0" t="s">
        <v>3291</v>
      </c>
      <c r="D83" s="0" t="s">
        <v>3299</v>
      </c>
      <c r="E83" s="0" t="s">
        <v>3300</v>
      </c>
      <c r="F83" s="0" t="s">
        <v>3120</v>
      </c>
      <c r="G83" s="0" t="s">
        <v>3301</v>
      </c>
    </row>
    <row customHeight="1" ht="11.25">
      <c r="A84" s="0" t="s">
        <v>16</v>
      </c>
      <c r="B84" s="0" t="s">
        <v>3302</v>
      </c>
      <c r="C84" s="0" t="s">
        <v>3303</v>
      </c>
      <c r="D84" s="0" t="s">
        <v>3302</v>
      </c>
      <c r="E84" s="0" t="s">
        <v>3303</v>
      </c>
      <c r="F84" s="0" t="s">
        <v>3114</v>
      </c>
      <c r="G84" s="0" t="s">
        <v>3304</v>
      </c>
    </row>
    <row customHeight="1" ht="11.25">
      <c r="A85" s="0" t="s">
        <v>16</v>
      </c>
      <c r="B85" s="0" t="s">
        <v>3305</v>
      </c>
      <c r="C85" s="0" t="s">
        <v>3306</v>
      </c>
      <c r="D85" s="0" t="s">
        <v>3307</v>
      </c>
      <c r="E85" s="0" t="s">
        <v>3308</v>
      </c>
      <c r="F85" s="0" t="s">
        <v>3120</v>
      </c>
      <c r="G85" s="0" t="s">
        <v>3309</v>
      </c>
    </row>
    <row customHeight="1" ht="11.25">
      <c r="A86" s="0" t="s">
        <v>16</v>
      </c>
      <c r="B86" s="0" t="s">
        <v>3305</v>
      </c>
      <c r="C86" s="0" t="s">
        <v>3306</v>
      </c>
      <c r="D86" s="0" t="s">
        <v>3310</v>
      </c>
      <c r="E86" s="0" t="s">
        <v>3311</v>
      </c>
      <c r="F86" s="0" t="s">
        <v>3120</v>
      </c>
      <c r="G86" s="0" t="s">
        <v>3312</v>
      </c>
    </row>
    <row customHeight="1" ht="11.25">
      <c r="A87" s="0" t="s">
        <v>16</v>
      </c>
      <c r="B87" s="0" t="s">
        <v>3305</v>
      </c>
      <c r="C87" s="0" t="s">
        <v>3306</v>
      </c>
      <c r="D87" s="0" t="s">
        <v>3305</v>
      </c>
      <c r="E87" s="0" t="s">
        <v>3306</v>
      </c>
      <c r="F87" s="0" t="s">
        <v>3117</v>
      </c>
      <c r="G87" s="0" t="s">
        <v>3313</v>
      </c>
    </row>
    <row customHeight="1" ht="11.25">
      <c r="A88" s="0" t="s">
        <v>16</v>
      </c>
      <c r="B88" s="0" t="s">
        <v>3305</v>
      </c>
      <c r="C88" s="0" t="s">
        <v>3306</v>
      </c>
      <c r="D88" s="0" t="s">
        <v>3314</v>
      </c>
      <c r="E88" s="0" t="s">
        <v>3315</v>
      </c>
      <c r="F88" s="0" t="s">
        <v>3120</v>
      </c>
      <c r="G88" s="0" t="s">
        <v>3316</v>
      </c>
    </row>
    <row customHeight="1" ht="11.25">
      <c r="A89" s="0" t="s">
        <v>16</v>
      </c>
      <c r="B89" s="0" t="s">
        <v>3305</v>
      </c>
      <c r="C89" s="0" t="s">
        <v>3306</v>
      </c>
      <c r="D89" s="0" t="s">
        <v>3317</v>
      </c>
      <c r="E89" s="0" t="s">
        <v>3318</v>
      </c>
      <c r="F89" s="0" t="s">
        <v>3120</v>
      </c>
      <c r="G89" s="0" t="s">
        <v>3319</v>
      </c>
    </row>
    <row customHeight="1" ht="11.25">
      <c r="A90" s="0" t="s">
        <v>16</v>
      </c>
      <c r="B90" s="0" t="s">
        <v>3320</v>
      </c>
      <c r="C90" s="0" t="s">
        <v>3321</v>
      </c>
      <c r="D90" s="0" t="s">
        <v>3320</v>
      </c>
      <c r="E90" s="0" t="s">
        <v>3321</v>
      </c>
      <c r="F90" s="0" t="s">
        <v>3114</v>
      </c>
      <c r="G90" s="0" t="s">
        <v>3322</v>
      </c>
    </row>
    <row customHeight="1" ht="11.25">
      <c r="A91" s="0" t="s">
        <v>16</v>
      </c>
      <c r="B91" s="0" t="s">
        <v>3323</v>
      </c>
      <c r="C91" s="0" t="s">
        <v>3324</v>
      </c>
      <c r="D91" s="0" t="s">
        <v>3325</v>
      </c>
      <c r="E91" s="0" t="s">
        <v>3326</v>
      </c>
      <c r="F91" s="0" t="s">
        <v>3120</v>
      </c>
      <c r="G91" s="0" t="s">
        <v>3327</v>
      </c>
    </row>
    <row customHeight="1" ht="11.25">
      <c r="A92" s="0" t="s">
        <v>16</v>
      </c>
      <c r="B92" s="0" t="s">
        <v>3323</v>
      </c>
      <c r="C92" s="0" t="s">
        <v>3324</v>
      </c>
      <c r="D92" s="0" t="s">
        <v>3323</v>
      </c>
      <c r="E92" s="0" t="s">
        <v>3324</v>
      </c>
      <c r="F92" s="0" t="s">
        <v>3117</v>
      </c>
      <c r="G92" s="0" t="s">
        <v>3328</v>
      </c>
    </row>
    <row customHeight="1" ht="11.25">
      <c r="A93" s="0" t="s">
        <v>16</v>
      </c>
      <c r="B93" s="0" t="s">
        <v>3323</v>
      </c>
      <c r="C93" s="0" t="s">
        <v>3324</v>
      </c>
      <c r="D93" s="0" t="s">
        <v>3329</v>
      </c>
      <c r="E93" s="0" t="s">
        <v>3330</v>
      </c>
      <c r="F93" s="0" t="s">
        <v>3120</v>
      </c>
      <c r="G93" s="0" t="s">
        <v>3331</v>
      </c>
    </row>
    <row customHeight="1" ht="11.25">
      <c r="A94" s="0" t="s">
        <v>16</v>
      </c>
      <c r="B94" s="0" t="s">
        <v>3323</v>
      </c>
      <c r="C94" s="0" t="s">
        <v>3324</v>
      </c>
      <c r="D94" s="0" t="s">
        <v>3332</v>
      </c>
      <c r="E94" s="0" t="s">
        <v>3333</v>
      </c>
      <c r="F94" s="0" t="s">
        <v>3120</v>
      </c>
      <c r="G94" s="0" t="s">
        <v>3334</v>
      </c>
    </row>
    <row customHeight="1" ht="11.25">
      <c r="A95" s="0" t="s">
        <v>16</v>
      </c>
      <c r="B95" s="0" t="s">
        <v>3335</v>
      </c>
      <c r="C95" s="0" t="s">
        <v>3336</v>
      </c>
      <c r="D95" s="0" t="s">
        <v>3335</v>
      </c>
      <c r="E95" s="0" t="s">
        <v>3336</v>
      </c>
      <c r="F95" s="0" t="s">
        <v>3114</v>
      </c>
      <c r="G95" s="0" t="s">
        <v>3337</v>
      </c>
    </row>
    <row customHeight="1" ht="11.25">
      <c r="A96" s="0" t="s">
        <v>16</v>
      </c>
      <c r="B96" s="0" t="s">
        <v>3338</v>
      </c>
      <c r="C96" s="0" t="s">
        <v>3339</v>
      </c>
      <c r="D96" s="0" t="s">
        <v>3338</v>
      </c>
      <c r="E96" s="0" t="s">
        <v>3339</v>
      </c>
      <c r="F96" s="0" t="s">
        <v>3114</v>
      </c>
      <c r="G96" s="0" t="s">
        <v>3340</v>
      </c>
    </row>
    <row customHeight="1" ht="11.25">
      <c r="A97" s="0" t="s">
        <v>16</v>
      </c>
      <c r="B97" s="0" t="s">
        <v>3341</v>
      </c>
      <c r="C97" s="0" t="s">
        <v>3342</v>
      </c>
      <c r="D97" s="0" t="s">
        <v>3341</v>
      </c>
      <c r="E97" s="0" t="s">
        <v>3342</v>
      </c>
      <c r="F97" s="0" t="s">
        <v>3114</v>
      </c>
      <c r="G97" s="0" t="s">
        <v>3343</v>
      </c>
    </row>
    <row customHeight="1" ht="11.25">
      <c r="A98" s="0" t="s">
        <v>16</v>
      </c>
      <c r="B98" s="0" t="s">
        <v>3344</v>
      </c>
      <c r="C98" s="0" t="s">
        <v>3345</v>
      </c>
      <c r="D98" s="0" t="s">
        <v>3344</v>
      </c>
      <c r="E98" s="0" t="s">
        <v>3345</v>
      </c>
      <c r="F98" s="0" t="s">
        <v>3114</v>
      </c>
      <c r="G98" s="0" t="s">
        <v>3346</v>
      </c>
    </row>
    <row customHeight="1" ht="11.25">
      <c r="A99" s="0" t="s">
        <v>16</v>
      </c>
      <c r="B99" s="0" t="s">
        <v>3347</v>
      </c>
      <c r="C99" s="0" t="s">
        <v>3348</v>
      </c>
      <c r="D99" s="0" t="s">
        <v>3349</v>
      </c>
      <c r="E99" s="0" t="s">
        <v>3350</v>
      </c>
      <c r="F99" s="0" t="s">
        <v>3120</v>
      </c>
      <c r="G99" s="0" t="s">
        <v>3351</v>
      </c>
    </row>
    <row customHeight="1" ht="11.25">
      <c r="A100" s="0" t="s">
        <v>16</v>
      </c>
      <c r="B100" s="0" t="s">
        <v>3347</v>
      </c>
      <c r="C100" s="0" t="s">
        <v>3348</v>
      </c>
      <c r="D100" s="0" t="s">
        <v>3352</v>
      </c>
      <c r="E100" s="0" t="s">
        <v>3353</v>
      </c>
      <c r="F100" s="0" t="s">
        <v>3120</v>
      </c>
      <c r="G100" s="0" t="s">
        <v>3354</v>
      </c>
    </row>
    <row customHeight="1" ht="11.25">
      <c r="A101" s="0" t="s">
        <v>16</v>
      </c>
      <c r="B101" s="0" t="s">
        <v>3347</v>
      </c>
      <c r="C101" s="0" t="s">
        <v>3348</v>
      </c>
      <c r="D101" s="0" t="s">
        <v>3355</v>
      </c>
      <c r="E101" s="0" t="s">
        <v>3356</v>
      </c>
      <c r="F101" s="0" t="s">
        <v>3120</v>
      </c>
      <c r="G101" s="0" t="s">
        <v>3357</v>
      </c>
    </row>
    <row customHeight="1" ht="11.25">
      <c r="A102" s="0" t="s">
        <v>16</v>
      </c>
      <c r="B102" s="0" t="s">
        <v>3347</v>
      </c>
      <c r="C102" s="0" t="s">
        <v>3348</v>
      </c>
      <c r="D102" s="0" t="s">
        <v>3358</v>
      </c>
      <c r="E102" s="0" t="s">
        <v>3359</v>
      </c>
      <c r="F102" s="0" t="s">
        <v>3120</v>
      </c>
      <c r="G102" s="0" t="s">
        <v>3360</v>
      </c>
    </row>
    <row customHeight="1" ht="11.25">
      <c r="A103" s="0" t="s">
        <v>16</v>
      </c>
      <c r="B103" s="0" t="s">
        <v>3347</v>
      </c>
      <c r="C103" s="0" t="s">
        <v>3348</v>
      </c>
      <c r="D103" s="0" t="s">
        <v>3347</v>
      </c>
      <c r="E103" s="0" t="s">
        <v>3348</v>
      </c>
      <c r="F103" s="0" t="s">
        <v>3117</v>
      </c>
      <c r="G103" s="0" t="s">
        <v>3361</v>
      </c>
    </row>
    <row customHeight="1" ht="11.25">
      <c r="A104" s="0" t="s">
        <v>16</v>
      </c>
      <c r="B104" s="0" t="s">
        <v>3347</v>
      </c>
      <c r="C104" s="0" t="s">
        <v>3348</v>
      </c>
      <c r="D104" s="0" t="s">
        <v>3362</v>
      </c>
      <c r="E104" s="0" t="s">
        <v>3363</v>
      </c>
      <c r="F104" s="0" t="s">
        <v>3120</v>
      </c>
      <c r="G104" s="0" t="s">
        <v>3364</v>
      </c>
    </row>
    <row customHeight="1" ht="11.25">
      <c r="A105" s="0" t="s">
        <v>16</v>
      </c>
      <c r="B105" s="0" t="s">
        <v>3347</v>
      </c>
      <c r="C105" s="0" t="s">
        <v>3348</v>
      </c>
      <c r="D105" s="0" t="s">
        <v>3365</v>
      </c>
      <c r="E105" s="0" t="s">
        <v>3366</v>
      </c>
      <c r="F105" s="0" t="s">
        <v>3176</v>
      </c>
      <c r="G105" s="0" t="s">
        <v>3367</v>
      </c>
    </row>
    <row customHeight="1" ht="11.25">
      <c r="A106" s="0" t="s">
        <v>16</v>
      </c>
      <c r="B106" s="0" t="s">
        <v>3368</v>
      </c>
      <c r="C106" s="0" t="s">
        <v>3369</v>
      </c>
      <c r="D106" s="0" t="s">
        <v>3368</v>
      </c>
      <c r="E106" s="0" t="s">
        <v>3369</v>
      </c>
      <c r="F106" s="0" t="s">
        <v>3114</v>
      </c>
      <c r="G106" s="0" t="s">
        <v>3370</v>
      </c>
    </row>
    <row customHeight="1" ht="11.25">
      <c r="A107" s="0" t="s">
        <v>16</v>
      </c>
      <c r="B107" s="0" t="s">
        <v>3371</v>
      </c>
      <c r="C107" s="0" t="s">
        <v>3372</v>
      </c>
      <c r="D107" s="0" t="s">
        <v>3373</v>
      </c>
      <c r="E107" s="0" t="s">
        <v>3374</v>
      </c>
      <c r="F107" s="0" t="s">
        <v>3120</v>
      </c>
      <c r="G107" s="0" t="s">
        <v>3375</v>
      </c>
    </row>
    <row customHeight="1" ht="11.25">
      <c r="A108" s="0" t="s">
        <v>16</v>
      </c>
      <c r="B108" s="0" t="s">
        <v>3371</v>
      </c>
      <c r="C108" s="0" t="s">
        <v>3372</v>
      </c>
      <c r="D108" s="0" t="s">
        <v>3376</v>
      </c>
      <c r="E108" s="0" t="s">
        <v>3377</v>
      </c>
      <c r="F108" s="0" t="s">
        <v>3120</v>
      </c>
      <c r="G108" s="0" t="s">
        <v>3378</v>
      </c>
    </row>
    <row customHeight="1" ht="11.25">
      <c r="A109" s="0" t="s">
        <v>16</v>
      </c>
      <c r="B109" s="0" t="s">
        <v>3371</v>
      </c>
      <c r="C109" s="0" t="s">
        <v>3372</v>
      </c>
      <c r="D109" s="0" t="s">
        <v>3371</v>
      </c>
      <c r="E109" s="0" t="s">
        <v>3372</v>
      </c>
      <c r="F109" s="0" t="s">
        <v>3117</v>
      </c>
      <c r="G109" s="0" t="s">
        <v>3379</v>
      </c>
    </row>
    <row customHeight="1" ht="11.25">
      <c r="A110" s="0" t="s">
        <v>16</v>
      </c>
      <c r="B110" s="0" t="s">
        <v>3371</v>
      </c>
      <c r="C110" s="0" t="s">
        <v>3372</v>
      </c>
      <c r="D110" s="0" t="s">
        <v>3380</v>
      </c>
      <c r="E110" s="0" t="s">
        <v>3381</v>
      </c>
      <c r="F110" s="0" t="s">
        <v>3120</v>
      </c>
      <c r="G110" s="0" t="s">
        <v>3382</v>
      </c>
    </row>
    <row customHeight="1" ht="11.25">
      <c r="A111" s="0" t="s">
        <v>16</v>
      </c>
      <c r="B111" s="0" t="s">
        <v>3371</v>
      </c>
      <c r="C111" s="0" t="s">
        <v>3372</v>
      </c>
      <c r="D111" s="0" t="s">
        <v>3383</v>
      </c>
      <c r="E111" s="0" t="s">
        <v>3384</v>
      </c>
      <c r="F111" s="0" t="s">
        <v>3137</v>
      </c>
      <c r="G111" s="0" t="s">
        <v>3385</v>
      </c>
    </row>
    <row customHeight="1" ht="11.25">
      <c r="A112" s="0" t="s">
        <v>16</v>
      </c>
      <c r="B112" s="0" t="s">
        <v>3386</v>
      </c>
      <c r="C112" s="0" t="s">
        <v>3387</v>
      </c>
      <c r="D112" s="0" t="s">
        <v>3386</v>
      </c>
      <c r="E112" s="0" t="s">
        <v>3387</v>
      </c>
      <c r="F112" s="0" t="s">
        <v>3114</v>
      </c>
      <c r="G112" s="0" t="s">
        <v>3388</v>
      </c>
    </row>
    <row customHeight="1" ht="11.25">
      <c r="A113" s="0" t="s">
        <v>16</v>
      </c>
      <c r="B113" s="0" t="s">
        <v>3389</v>
      </c>
      <c r="C113" s="0" t="s">
        <v>3390</v>
      </c>
      <c r="D113" s="0" t="s">
        <v>3391</v>
      </c>
      <c r="E113" s="0" t="s">
        <v>3392</v>
      </c>
      <c r="F113" s="0" t="s">
        <v>3120</v>
      </c>
      <c r="G113" s="0" t="s">
        <v>3393</v>
      </c>
    </row>
    <row customHeight="1" ht="11.25">
      <c r="A114" s="0" t="s">
        <v>16</v>
      </c>
      <c r="B114" s="0" t="s">
        <v>3389</v>
      </c>
      <c r="C114" s="0" t="s">
        <v>3390</v>
      </c>
      <c r="D114" s="0" t="s">
        <v>3394</v>
      </c>
      <c r="E114" s="0" t="s">
        <v>3395</v>
      </c>
      <c r="F114" s="0" t="s">
        <v>3120</v>
      </c>
      <c r="G114" s="0" t="s">
        <v>3396</v>
      </c>
    </row>
    <row customHeight="1" ht="11.25">
      <c r="A115" s="0" t="s">
        <v>16</v>
      </c>
      <c r="B115" s="0" t="s">
        <v>3389</v>
      </c>
      <c r="C115" s="0" t="s">
        <v>3390</v>
      </c>
      <c r="D115" s="0" t="s">
        <v>3397</v>
      </c>
      <c r="E115" s="0" t="s">
        <v>3398</v>
      </c>
      <c r="F115" s="0" t="s">
        <v>3120</v>
      </c>
      <c r="G115" s="0" t="s">
        <v>3399</v>
      </c>
    </row>
    <row customHeight="1" ht="11.25">
      <c r="A116" s="0" t="s">
        <v>16</v>
      </c>
      <c r="B116" s="0" t="s">
        <v>3389</v>
      </c>
      <c r="C116" s="0" t="s">
        <v>3390</v>
      </c>
      <c r="D116" s="0" t="s">
        <v>3400</v>
      </c>
      <c r="E116" s="0" t="s">
        <v>3401</v>
      </c>
      <c r="F116" s="0" t="s">
        <v>3120</v>
      </c>
      <c r="G116" s="0" t="s">
        <v>3402</v>
      </c>
    </row>
    <row customHeight="1" ht="11.25">
      <c r="A117" s="0" t="s">
        <v>16</v>
      </c>
      <c r="B117" s="0" t="s">
        <v>3389</v>
      </c>
      <c r="C117" s="0" t="s">
        <v>3390</v>
      </c>
      <c r="D117" s="0" t="s">
        <v>3403</v>
      </c>
      <c r="E117" s="0" t="s">
        <v>3404</v>
      </c>
      <c r="F117" s="0" t="s">
        <v>3120</v>
      </c>
      <c r="G117" s="0" t="s">
        <v>3405</v>
      </c>
    </row>
    <row customHeight="1" ht="11.25">
      <c r="A118" s="0" t="s">
        <v>16</v>
      </c>
      <c r="B118" s="0" t="s">
        <v>3389</v>
      </c>
      <c r="C118" s="0" t="s">
        <v>3390</v>
      </c>
      <c r="D118" s="0" t="s">
        <v>3389</v>
      </c>
      <c r="E118" s="0" t="s">
        <v>3390</v>
      </c>
      <c r="F118" s="0" t="s">
        <v>3117</v>
      </c>
      <c r="G118" s="0" t="s">
        <v>3406</v>
      </c>
    </row>
    <row customHeight="1" ht="11.25">
      <c r="A119" s="0" t="s">
        <v>16</v>
      </c>
      <c r="B119" s="0" t="s">
        <v>3389</v>
      </c>
      <c r="C119" s="0" t="s">
        <v>3390</v>
      </c>
      <c r="D119" s="0" t="s">
        <v>3407</v>
      </c>
      <c r="E119" s="0" t="s">
        <v>3408</v>
      </c>
      <c r="F119" s="0" t="s">
        <v>3120</v>
      </c>
      <c r="G119" s="0" t="s">
        <v>3409</v>
      </c>
    </row>
    <row customHeight="1" ht="11.25">
      <c r="A120" s="0" t="s">
        <v>16</v>
      </c>
      <c r="B120" s="0" t="s">
        <v>3389</v>
      </c>
      <c r="C120" s="0" t="s">
        <v>3390</v>
      </c>
      <c r="D120" s="0" t="s">
        <v>3410</v>
      </c>
      <c r="E120" s="0" t="s">
        <v>3411</v>
      </c>
      <c r="F120" s="0" t="s">
        <v>3137</v>
      </c>
      <c r="G120" s="0" t="s">
        <v>3412</v>
      </c>
    </row>
    <row customHeight="1" ht="11.25">
      <c r="A121" s="0" t="s">
        <v>16</v>
      </c>
      <c r="B121" s="0" t="s">
        <v>3413</v>
      </c>
      <c r="C121" s="0" t="s">
        <v>3414</v>
      </c>
      <c r="D121" s="0" t="s">
        <v>3413</v>
      </c>
      <c r="E121" s="0" t="s">
        <v>3414</v>
      </c>
      <c r="F121" s="0" t="s">
        <v>3114</v>
      </c>
      <c r="G121" s="0" t="s">
        <v>3415</v>
      </c>
    </row>
    <row customHeight="1" ht="11.25">
      <c r="A122" s="0" t="s">
        <v>16</v>
      </c>
      <c r="B122" s="0" t="s">
        <v>3416</v>
      </c>
      <c r="C122" s="0" t="s">
        <v>3417</v>
      </c>
      <c r="D122" s="0" t="s">
        <v>3418</v>
      </c>
      <c r="E122" s="0" t="s">
        <v>3419</v>
      </c>
      <c r="F122" s="0" t="s">
        <v>3120</v>
      </c>
      <c r="G122" s="0" t="s">
        <v>3420</v>
      </c>
    </row>
    <row customHeight="1" ht="11.25">
      <c r="A123" s="0" t="s">
        <v>16</v>
      </c>
      <c r="B123" s="0" t="s">
        <v>3416</v>
      </c>
      <c r="C123" s="0" t="s">
        <v>3417</v>
      </c>
      <c r="D123" s="0" t="s">
        <v>3421</v>
      </c>
      <c r="E123" s="0" t="s">
        <v>3422</v>
      </c>
      <c r="F123" s="0" t="s">
        <v>3120</v>
      </c>
      <c r="G123" s="0" t="s">
        <v>3423</v>
      </c>
    </row>
    <row customHeight="1" ht="11.25">
      <c r="A124" s="0" t="s">
        <v>16</v>
      </c>
      <c r="B124" s="0" t="s">
        <v>3416</v>
      </c>
      <c r="C124" s="0" t="s">
        <v>3417</v>
      </c>
      <c r="D124" s="0" t="s">
        <v>3424</v>
      </c>
      <c r="E124" s="0" t="s">
        <v>3425</v>
      </c>
      <c r="F124" s="0" t="s">
        <v>3120</v>
      </c>
      <c r="G124" s="0" t="s">
        <v>3426</v>
      </c>
    </row>
    <row customHeight="1" ht="11.25">
      <c r="A125" s="0" t="s">
        <v>16</v>
      </c>
      <c r="B125" s="0" t="s">
        <v>3416</v>
      </c>
      <c r="C125" s="0" t="s">
        <v>3417</v>
      </c>
      <c r="D125" s="0" t="s">
        <v>3427</v>
      </c>
      <c r="E125" s="0" t="s">
        <v>3428</v>
      </c>
      <c r="F125" s="0" t="s">
        <v>3120</v>
      </c>
      <c r="G125" s="0" t="s">
        <v>3429</v>
      </c>
    </row>
    <row customHeight="1" ht="11.25">
      <c r="A126" s="0" t="s">
        <v>16</v>
      </c>
      <c r="B126" s="0" t="s">
        <v>3416</v>
      </c>
      <c r="C126" s="0" t="s">
        <v>3417</v>
      </c>
      <c r="D126" s="0" t="s">
        <v>3416</v>
      </c>
      <c r="E126" s="0" t="s">
        <v>3417</v>
      </c>
      <c r="F126" s="0" t="s">
        <v>3117</v>
      </c>
      <c r="G126" s="0" t="s">
        <v>3430</v>
      </c>
    </row>
    <row customHeight="1" ht="11.25">
      <c r="A127" s="0" t="s">
        <v>16</v>
      </c>
      <c r="B127" s="0" t="s">
        <v>3416</v>
      </c>
      <c r="C127" s="0" t="s">
        <v>3417</v>
      </c>
      <c r="D127" s="0" t="s">
        <v>3431</v>
      </c>
      <c r="E127" s="0" t="s">
        <v>3432</v>
      </c>
      <c r="F127" s="0" t="s">
        <v>3120</v>
      </c>
      <c r="G127" s="0" t="s">
        <v>3433</v>
      </c>
    </row>
    <row customHeight="1" ht="11.25">
      <c r="A128" s="0" t="s">
        <v>16</v>
      </c>
      <c r="B128" s="0" t="s">
        <v>3416</v>
      </c>
      <c r="C128" s="0" t="s">
        <v>3417</v>
      </c>
      <c r="D128" s="0" t="s">
        <v>3434</v>
      </c>
      <c r="E128" s="0" t="s">
        <v>3435</v>
      </c>
      <c r="F128" s="0" t="s">
        <v>3120</v>
      </c>
      <c r="G128" s="0" t="s">
        <v>3436</v>
      </c>
    </row>
    <row customHeight="1" ht="11.25">
      <c r="A129" s="0" t="s">
        <v>16</v>
      </c>
      <c r="B129" s="0" t="s">
        <v>3416</v>
      </c>
      <c r="C129" s="0" t="s">
        <v>3417</v>
      </c>
      <c r="D129" s="0" t="s">
        <v>3437</v>
      </c>
      <c r="E129" s="0" t="s">
        <v>3438</v>
      </c>
      <c r="F129" s="0" t="s">
        <v>3176</v>
      </c>
      <c r="G129" s="0" t="s">
        <v>3439</v>
      </c>
    </row>
    <row customHeight="1" ht="11.25">
      <c r="A130" s="0" t="s">
        <v>16</v>
      </c>
      <c r="B130" s="0" t="s">
        <v>3440</v>
      </c>
      <c r="C130" s="0" t="s">
        <v>3441</v>
      </c>
      <c r="D130" s="0" t="s">
        <v>3440</v>
      </c>
      <c r="E130" s="0" t="s">
        <v>3441</v>
      </c>
      <c r="F130" s="0" t="s">
        <v>3114</v>
      </c>
      <c r="G130" s="0" t="s">
        <v>3442</v>
      </c>
    </row>
    <row customHeight="1" ht="11.25">
      <c r="A131" s="0" t="s">
        <v>16</v>
      </c>
      <c r="B131" s="0" t="s">
        <v>3443</v>
      </c>
      <c r="C131" s="0" t="s">
        <v>3444</v>
      </c>
      <c r="D131" s="0" t="s">
        <v>3445</v>
      </c>
      <c r="E131" s="0" t="s">
        <v>3446</v>
      </c>
      <c r="F131" s="0" t="s">
        <v>3120</v>
      </c>
      <c r="G131" s="0" t="s">
        <v>3447</v>
      </c>
    </row>
    <row customHeight="1" ht="11.25">
      <c r="A132" s="0" t="s">
        <v>16</v>
      </c>
      <c r="B132" s="0" t="s">
        <v>3443</v>
      </c>
      <c r="C132" s="0" t="s">
        <v>3444</v>
      </c>
      <c r="D132" s="0" t="s">
        <v>3448</v>
      </c>
      <c r="E132" s="0" t="s">
        <v>3449</v>
      </c>
      <c r="F132" s="0" t="s">
        <v>3120</v>
      </c>
      <c r="G132" s="0" t="s">
        <v>3450</v>
      </c>
    </row>
    <row customHeight="1" ht="11.25">
      <c r="A133" s="0" t="s">
        <v>16</v>
      </c>
      <c r="B133" s="0" t="s">
        <v>3443</v>
      </c>
      <c r="C133" s="0" t="s">
        <v>3444</v>
      </c>
      <c r="D133" s="0" t="s">
        <v>3451</v>
      </c>
      <c r="E133" s="0" t="s">
        <v>3452</v>
      </c>
      <c r="F133" s="0" t="s">
        <v>3120</v>
      </c>
      <c r="G133" s="0" t="s">
        <v>3453</v>
      </c>
    </row>
    <row customHeight="1" ht="11.25">
      <c r="A134" s="0" t="s">
        <v>16</v>
      </c>
      <c r="B134" s="0" t="s">
        <v>3443</v>
      </c>
      <c r="C134" s="0" t="s">
        <v>3444</v>
      </c>
      <c r="D134" s="0" t="s">
        <v>3454</v>
      </c>
      <c r="E134" s="0" t="s">
        <v>3455</v>
      </c>
      <c r="F134" s="0" t="s">
        <v>3120</v>
      </c>
      <c r="G134" s="0" t="s">
        <v>3456</v>
      </c>
    </row>
    <row customHeight="1" ht="11.25">
      <c r="A135" s="0" t="s">
        <v>16</v>
      </c>
      <c r="B135" s="0" t="s">
        <v>3443</v>
      </c>
      <c r="C135" s="0" t="s">
        <v>3444</v>
      </c>
      <c r="D135" s="0" t="s">
        <v>3457</v>
      </c>
      <c r="E135" s="0" t="s">
        <v>3458</v>
      </c>
      <c r="F135" s="0" t="s">
        <v>3120</v>
      </c>
      <c r="G135" s="0" t="s">
        <v>3459</v>
      </c>
    </row>
    <row customHeight="1" ht="11.25">
      <c r="A136" s="0" t="s">
        <v>16</v>
      </c>
      <c r="B136" s="0" t="s">
        <v>3443</v>
      </c>
      <c r="C136" s="0" t="s">
        <v>3444</v>
      </c>
      <c r="D136" s="0" t="s">
        <v>3460</v>
      </c>
      <c r="E136" s="0" t="s">
        <v>3461</v>
      </c>
      <c r="F136" s="0" t="s">
        <v>3120</v>
      </c>
      <c r="G136" s="0" t="s">
        <v>3462</v>
      </c>
    </row>
    <row customHeight="1" ht="11.25">
      <c r="A137" s="0" t="s">
        <v>16</v>
      </c>
      <c r="B137" s="0" t="s">
        <v>3443</v>
      </c>
      <c r="C137" s="0" t="s">
        <v>3444</v>
      </c>
      <c r="D137" s="0" t="s">
        <v>3443</v>
      </c>
      <c r="E137" s="0" t="s">
        <v>3444</v>
      </c>
      <c r="F137" s="0" t="s">
        <v>3117</v>
      </c>
      <c r="G137" s="0" t="s">
        <v>3463</v>
      </c>
    </row>
    <row customHeight="1" ht="11.25">
      <c r="A138" s="0" t="s">
        <v>16</v>
      </c>
      <c r="B138" s="0" t="s">
        <v>3443</v>
      </c>
      <c r="C138" s="0" t="s">
        <v>3444</v>
      </c>
      <c r="D138" s="0" t="s">
        <v>3464</v>
      </c>
      <c r="E138" s="0" t="s">
        <v>3465</v>
      </c>
      <c r="F138" s="0" t="s">
        <v>3120</v>
      </c>
      <c r="G138" s="0" t="s">
        <v>3466</v>
      </c>
    </row>
    <row customHeight="1" ht="11.25">
      <c r="A139" s="0" t="s">
        <v>16</v>
      </c>
      <c r="B139" s="0" t="s">
        <v>3467</v>
      </c>
      <c r="C139" s="0" t="s">
        <v>3468</v>
      </c>
      <c r="D139" s="0" t="s">
        <v>3467</v>
      </c>
      <c r="E139" s="0" t="s">
        <v>3468</v>
      </c>
      <c r="F139" s="0" t="s">
        <v>3469</v>
      </c>
      <c r="G139" s="0" t="s">
        <v>3470</v>
      </c>
    </row>
    <row customHeight="1" ht="11.25">
      <c r="A140" s="0" t="s">
        <v>16</v>
      </c>
      <c r="B140" s="0" t="s">
        <v>101</v>
      </c>
      <c r="C140" s="0" t="s">
        <v>103</v>
      </c>
      <c r="D140" s="0" t="s">
        <v>101</v>
      </c>
      <c r="E140" s="0" t="s">
        <v>103</v>
      </c>
      <c r="F140" s="0" t="s">
        <v>3469</v>
      </c>
      <c r="G140" s="0" t="s">
        <v>102</v>
      </c>
    </row>
    <row customHeight="1" ht="11.25">
      <c r="A141" s="0" t="s">
        <v>16</v>
      </c>
      <c r="B141" s="0" t="s">
        <v>3471</v>
      </c>
      <c r="C141" s="0" t="s">
        <v>3472</v>
      </c>
      <c r="D141" s="0" t="s">
        <v>3471</v>
      </c>
      <c r="E141" s="0" t="s">
        <v>3472</v>
      </c>
      <c r="F141" s="0" t="s">
        <v>3469</v>
      </c>
      <c r="G141" s="0" t="s">
        <v>3473</v>
      </c>
    </row>
    <row customHeight="1" ht="11.25">
      <c r="A142" s="0" t="s">
        <v>16</v>
      </c>
      <c r="B142" s="0" t="s">
        <v>3474</v>
      </c>
      <c r="C142" s="0" t="s">
        <v>3475</v>
      </c>
      <c r="D142" s="0" t="s">
        <v>3474</v>
      </c>
      <c r="E142" s="0" t="s">
        <v>3475</v>
      </c>
      <c r="F142" s="0" t="s">
        <v>3469</v>
      </c>
      <c r="G142" s="0" t="s">
        <v>3476</v>
      </c>
    </row>
    <row customHeight="1" ht="11.25">
      <c r="A143" s="0" t="s">
        <v>16</v>
      </c>
      <c r="B143" s="0" t="s">
        <v>3477</v>
      </c>
      <c r="C143" s="0" t="s">
        <v>3478</v>
      </c>
      <c r="D143" s="0" t="s">
        <v>3477</v>
      </c>
      <c r="E143" s="0" t="s">
        <v>3478</v>
      </c>
      <c r="F143" s="0" t="s">
        <v>3469</v>
      </c>
      <c r="G143" s="0" t="s">
        <v>3479</v>
      </c>
    </row>
    <row customHeight="1" ht="11.25">
      <c r="A144" s="0" t="s">
        <v>16</v>
      </c>
      <c r="B144" s="0" t="s">
        <v>3480</v>
      </c>
      <c r="C144" s="0" t="s">
        <v>3481</v>
      </c>
      <c r="D144" s="0" t="s">
        <v>3480</v>
      </c>
      <c r="E144" s="0" t="s">
        <v>3481</v>
      </c>
      <c r="F144" s="0" t="s">
        <v>3469</v>
      </c>
      <c r="G144" s="0" t="s">
        <v>3482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72ADCE-E52C-3F5F-4D13-0.6976C094}"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3523</v>
      </c>
      <c r="B1" s="837" t="s">
        <v>3524</v>
      </c>
      <c r="C1" s="837" t="s">
        <v>1190</v>
      </c>
    </row>
    <row customHeight="1" ht="11.25">
      <c r="A2" s="837">
        <v>4189678</v>
      </c>
      <c r="B2" s="837" t="s">
        <v>3525</v>
      </c>
      <c r="C2" s="837" t="s">
        <v>3526</v>
      </c>
    </row>
    <row customHeight="1" ht="11.25">
      <c r="A3" s="837">
        <v>4190415</v>
      </c>
      <c r="B3" s="837" t="s">
        <v>3527</v>
      </c>
      <c r="C3" s="837" t="s">
        <v>3526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4A529B-B237-DFB4-C7DC-0.FD7F8EAC}"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3528</v>
      </c>
      <c r="B1" s="165" t="s">
        <v>3529</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5501F9F-B743-6917-12A4-0.8FA33967}"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3530</v>
      </c>
      <c r="B1" s="0" t="b">
        <v>1</v>
      </c>
    </row>
    <row customHeight="1" ht="11.25">
      <c r="A2" s="0" t="s">
        <v>3531</v>
      </c>
      <c r="B2" s="0" t="b">
        <v>0</v>
      </c>
    </row>
    <row customHeight="1" ht="11.25">
      <c r="A3" s="0" t="s">
        <v>3532</v>
      </c>
      <c r="B3" s="0" t="b">
        <v>1</v>
      </c>
    </row>
    <row customHeight="1" ht="11.25">
      <c r="A4" s="0" t="s">
        <v>3533</v>
      </c>
      <c r="B4" s="0" t="b">
        <v>0</v>
      </c>
    </row>
    <row customHeight="1" ht="11.25">
      <c r="A5" s="0" t="s">
        <v>3534</v>
      </c>
      <c r="B5" s="0" t="b">
        <v>0</v>
      </c>
    </row>
    <row customHeight="1" ht="11.25">
      <c r="A6" s="0" t="s">
        <v>3535</v>
      </c>
      <c r="B6" s="0" t="b">
        <v>0</v>
      </c>
    </row>
    <row customHeight="1" ht="11.25">
      <c r="A7" s="0" t="s">
        <v>3536</v>
      </c>
      <c r="B7" s="0" t="b">
        <v>0</v>
      </c>
    </row>
    <row customHeight="1" ht="11.25">
      <c r="A8" s="0" t="s">
        <v>3537</v>
      </c>
      <c r="B8" s="0" t="b">
        <v>0</v>
      </c>
    </row>
    <row customHeight="1" ht="11.25">
      <c r="A9" s="0" t="s">
        <v>3538</v>
      </c>
      <c r="B9" s="0" t="b">
        <v>0</v>
      </c>
    </row>
    <row customHeight="1" ht="11.25">
      <c r="A10" s="0" t="s">
        <v>3539</v>
      </c>
      <c r="B10" s="0" t="b">
        <v>0</v>
      </c>
    </row>
    <row customHeight="1" ht="11.25">
      <c r="A11" s="0" t="s">
        <v>3540</v>
      </c>
      <c r="B11" s="0" t="b">
        <v>0</v>
      </c>
    </row>
    <row customHeight="1" ht="11.25">
      <c r="A12" s="0" t="s">
        <v>3541</v>
      </c>
      <c r="B12" s="0" t="b">
        <v>0</v>
      </c>
    </row>
    <row customHeight="1" ht="11.25">
      <c r="A13" s="0" t="s">
        <v>3542</v>
      </c>
      <c r="B13" s="0" t="b">
        <v>0</v>
      </c>
    </row>
    <row customHeight="1" ht="11.25">
      <c r="A14" s="0" t="s">
        <v>3543</v>
      </c>
      <c r="B14" s="0" t="b">
        <v>1</v>
      </c>
    </row>
    <row customHeight="1" ht="11.25">
      <c r="A15" s="0" t="s">
        <v>3544</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F36E4C-89AF-B563-0EF7-0.BB338C}"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48"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3D63D6-723E-1DE3-5F0D-0.A6451175}"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3545</v>
      </c>
      <c r="B1" s="69" t="s">
        <v>3546</v>
      </c>
    </row>
    <row customHeight="1" ht="11.25">
      <c r="A2" s="66" t="s">
        <v>3547</v>
      </c>
      <c r="B2" s="66" t="s">
        <v>3548</v>
      </c>
    </row>
    <row customHeight="1" ht="11.25">
      <c r="A3" s="66" t="s">
        <v>3549</v>
      </c>
      <c r="B3" s="66" t="s">
        <v>3550</v>
      </c>
    </row>
    <row customHeight="1" ht="11.25">
      <c r="A4" s="66" t="s">
        <v>3551</v>
      </c>
      <c r="B4" s="66" t="s">
        <v>3552</v>
      </c>
    </row>
    <row customHeight="1" ht="11.25">
      <c r="A5" s="66" t="s">
        <v>3553</v>
      </c>
      <c r="B5" s="66" t="s">
        <v>3554</v>
      </c>
    </row>
    <row customHeight="1" ht="11.25">
      <c r="A6" s="66" t="s">
        <v>3555</v>
      </c>
      <c r="B6" s="66" t="s">
        <v>3556</v>
      </c>
    </row>
    <row customHeight="1" ht="11.25">
      <c r="A7" s="66" t="s">
        <v>3557</v>
      </c>
      <c r="B7" s="66" t="s">
        <v>3558</v>
      </c>
    </row>
    <row customHeight="1" ht="11.25">
      <c r="A8" s="66" t="s">
        <v>3559</v>
      </c>
      <c r="B8" s="66" t="s">
        <v>3560</v>
      </c>
    </row>
    <row customHeight="1" ht="11.25">
      <c r="A9" s="66" t="s">
        <v>3561</v>
      </c>
      <c r="B9" s="66" t="s">
        <v>3562</v>
      </c>
    </row>
    <row customHeight="1" ht="11.25">
      <c r="A10" s="66" t="s">
        <v>3563</v>
      </c>
      <c r="B10" s="66" t="s">
        <v>3564</v>
      </c>
    </row>
    <row customHeight="1" ht="11.25">
      <c r="A11" s="66" t="s">
        <v>3565</v>
      </c>
      <c r="B11" s="66" t="s">
        <v>3566</v>
      </c>
    </row>
    <row customHeight="1" ht="11.25">
      <c r="A12" s="66" t="s">
        <v>3567</v>
      </c>
      <c r="B12" s="66" t="s">
        <v>3568</v>
      </c>
    </row>
    <row customHeight="1" ht="11.25">
      <c r="A13" s="66" t="s">
        <v>3569</v>
      </c>
      <c r="B13" s="66" t="s">
        <v>3570</v>
      </c>
    </row>
    <row customHeight="1" ht="11.25">
      <c r="A14" s="66" t="s">
        <v>3571</v>
      </c>
      <c r="B14" s="66" t="s">
        <v>3572</v>
      </c>
    </row>
    <row customHeight="1" ht="11.25">
      <c r="A15" s="66" t="s">
        <v>3573</v>
      </c>
      <c r="B15" s="66" t="s">
        <v>3574</v>
      </c>
    </row>
    <row customHeight="1" ht="11.25">
      <c r="A16" s="66" t="s">
        <v>3575</v>
      </c>
      <c r="B16" s="66" t="s">
        <v>3576</v>
      </c>
    </row>
    <row customHeight="1" ht="11.25">
      <c r="A17" s="66" t="s">
        <v>3577</v>
      </c>
      <c r="B17" s="66" t="s">
        <v>3578</v>
      </c>
    </row>
    <row customHeight="1" ht="11.25">
      <c r="A18" s="66" t="s">
        <v>3579</v>
      </c>
      <c r="B18" s="66" t="s">
        <v>3580</v>
      </c>
    </row>
    <row customHeight="1" ht="11.25">
      <c r="A19" s="66" t="s">
        <v>3581</v>
      </c>
      <c r="B19" s="66" t="s">
        <v>3582</v>
      </c>
    </row>
    <row customHeight="1" ht="11.25">
      <c r="A20" s="66" t="s">
        <v>3583</v>
      </c>
      <c r="B20" s="66" t="s">
        <v>3584</v>
      </c>
    </row>
    <row customHeight="1" ht="11.25">
      <c r="A21" s="66" t="s">
        <v>3585</v>
      </c>
      <c r="B21" s="66" t="s">
        <v>3586</v>
      </c>
    </row>
    <row customHeight="1" ht="11.25">
      <c r="A22" s="66" t="s">
        <v>3587</v>
      </c>
      <c r="B22" s="66" t="s">
        <v>3588</v>
      </c>
    </row>
    <row customHeight="1" ht="11.25">
      <c r="A23" s="66" t="s">
        <v>3589</v>
      </c>
      <c r="B23" s="66" t="s">
        <v>3590</v>
      </c>
    </row>
    <row customHeight="1" ht="11.25">
      <c r="A24" s="66" t="s">
        <v>3591</v>
      </c>
      <c r="B24" s="66" t="s">
        <v>3592</v>
      </c>
    </row>
    <row customHeight="1" ht="11.25">
      <c r="A25" s="66" t="s">
        <v>3593</v>
      </c>
      <c r="B25" s="66" t="s">
        <v>3594</v>
      </c>
    </row>
    <row customHeight="1" ht="11.25">
      <c r="A26" s="66" t="s">
        <v>3595</v>
      </c>
      <c r="B26" s="66" t="s">
        <v>3596</v>
      </c>
    </row>
    <row customHeight="1" ht="11.25">
      <c r="A27" s="66" t="s">
        <v>3597</v>
      </c>
      <c r="B27" s="66" t="s">
        <v>3598</v>
      </c>
    </row>
    <row customHeight="1" ht="11.25">
      <c r="A28" s="66" t="s">
        <v>3599</v>
      </c>
      <c r="B28" s="66" t="s">
        <v>3600</v>
      </c>
    </row>
    <row customHeight="1" ht="11.25">
      <c r="A29" s="66" t="s">
        <v>3601</v>
      </c>
      <c r="B29" s="66" t="s">
        <v>3602</v>
      </c>
    </row>
    <row customHeight="1" ht="11.25">
      <c r="A30" s="66" t="s">
        <v>3603</v>
      </c>
      <c r="B30" s="66" t="s">
        <v>3604</v>
      </c>
    </row>
    <row customHeight="1" ht="11.25">
      <c r="A31" s="66" t="s">
        <v>3605</v>
      </c>
      <c r="B31" s="66" t="s">
        <v>3606</v>
      </c>
    </row>
    <row customHeight="1" ht="11.25">
      <c r="A32" s="66" t="s">
        <v>3607</v>
      </c>
      <c r="B32" s="66" t="s">
        <v>3608</v>
      </c>
    </row>
    <row customHeight="1" ht="11.25">
      <c r="A33" s="66" t="s">
        <v>3609</v>
      </c>
      <c r="B33" s="66" t="s">
        <v>3610</v>
      </c>
    </row>
    <row customHeight="1" ht="11.25">
      <c r="A34" s="66" t="s">
        <v>3611</v>
      </c>
      <c r="B34" s="66" t="s">
        <v>3612</v>
      </c>
    </row>
    <row customHeight="1" ht="11.25">
      <c r="A35" s="66" t="s">
        <v>3613</v>
      </c>
      <c r="B35" s="66" t="s">
        <v>3614</v>
      </c>
    </row>
    <row customHeight="1" ht="11.25">
      <c r="A36" s="66" t="s">
        <v>3615</v>
      </c>
      <c r="B36" s="66" t="s">
        <v>3616</v>
      </c>
    </row>
    <row customHeight="1" ht="11.25">
      <c r="A37" s="66" t="s">
        <v>3617</v>
      </c>
      <c r="B37" s="66" t="s">
        <v>3618</v>
      </c>
    </row>
    <row customHeight="1" ht="11.25">
      <c r="A38" s="66" t="s">
        <v>3619</v>
      </c>
      <c r="B38" s="66" t="s">
        <v>3620</v>
      </c>
    </row>
    <row customHeight="1" ht="11.25">
      <c r="A39" s="66" t="s">
        <v>3621</v>
      </c>
      <c r="B39" s="66" t="s">
        <v>3622</v>
      </c>
    </row>
    <row customHeight="1" ht="11.25">
      <c r="A40" s="66" t="s">
        <v>3623</v>
      </c>
      <c r="B40" s="66" t="s">
        <v>3624</v>
      </c>
    </row>
    <row customHeight="1" ht="11.25">
      <c r="A41" s="66" t="s">
        <v>3625</v>
      </c>
      <c r="B41" s="66" t="s">
        <v>3626</v>
      </c>
    </row>
    <row customHeight="1" ht="11.25">
      <c r="A42" s="66" t="s">
        <v>3627</v>
      </c>
      <c r="B42" s="66" t="s">
        <v>3628</v>
      </c>
    </row>
    <row customHeight="1" ht="11.25">
      <c r="A43" s="66" t="s">
        <v>3629</v>
      </c>
      <c r="B43" s="66" t="s">
        <v>3630</v>
      </c>
    </row>
    <row customHeight="1" ht="11.25">
      <c r="A44" s="66" t="s">
        <v>3631</v>
      </c>
      <c r="B44" s="66" t="s">
        <v>3632</v>
      </c>
    </row>
    <row customHeight="1" ht="11.25">
      <c r="A45" s="66" t="s">
        <v>3633</v>
      </c>
      <c r="B45" s="66" t="s">
        <v>3634</v>
      </c>
    </row>
    <row customHeight="1" ht="11.25">
      <c r="A46" s="66" t="s">
        <v>3635</v>
      </c>
      <c r="B46" s="66" t="s">
        <v>3636</v>
      </c>
    </row>
    <row customHeight="1" ht="11.25">
      <c r="A47" s="66" t="s">
        <v>3637</v>
      </c>
      <c r="B47" s="66" t="s">
        <v>3638</v>
      </c>
    </row>
    <row customHeight="1" ht="11.25">
      <c r="A48" s="66" t="s">
        <v>3639</v>
      </c>
      <c r="B48" s="66" t="s">
        <v>3640</v>
      </c>
    </row>
    <row customHeight="1" ht="11.25">
      <c r="A49" s="66" t="s">
        <v>3641</v>
      </c>
      <c r="B49" s="66" t="s">
        <v>3642</v>
      </c>
    </row>
    <row customHeight="1" ht="11.25">
      <c r="A50" s="66" t="s">
        <v>3643</v>
      </c>
      <c r="B50" s="66" t="s">
        <v>3644</v>
      </c>
    </row>
    <row customHeight="1" ht="11.25">
      <c r="A51" s="66" t="s">
        <v>3645</v>
      </c>
      <c r="B51" s="66" t="s">
        <v>3646</v>
      </c>
    </row>
    <row customHeight="1" ht="11.25">
      <c r="A52" s="66" t="s">
        <v>3647</v>
      </c>
      <c r="B52" s="66" t="s">
        <v>3648</v>
      </c>
    </row>
    <row customHeight="1" ht="11.25">
      <c r="A53" s="66" t="s">
        <v>3649</v>
      </c>
      <c r="B53" s="66" t="s">
        <v>3650</v>
      </c>
    </row>
    <row customHeight="1" ht="11.25">
      <c r="A54" s="66" t="s">
        <v>3651</v>
      </c>
      <c r="B54" s="66" t="s">
        <v>3652</v>
      </c>
    </row>
    <row customHeight="1" ht="11.25">
      <c r="A55" s="66" t="s">
        <v>3653</v>
      </c>
      <c r="B55" s="66" t="s">
        <v>3654</v>
      </c>
    </row>
    <row customHeight="1" ht="11.25">
      <c r="A56" s="66" t="s">
        <v>3655</v>
      </c>
      <c r="B56" s="66" t="s">
        <v>3656</v>
      </c>
    </row>
    <row customHeight="1" ht="11.25">
      <c r="A57" s="66" t="s">
        <v>3657</v>
      </c>
      <c r="B57" s="66" t="s">
        <v>3658</v>
      </c>
    </row>
    <row customHeight="1" ht="11.25">
      <c r="A58" s="66" t="s">
        <v>3659</v>
      </c>
      <c r="B58" s="66" t="s">
        <v>3660</v>
      </c>
    </row>
    <row customHeight="1" ht="11.25">
      <c r="A59" s="66" t="s">
        <v>3661</v>
      </c>
      <c r="B59" s="66" t="s">
        <v>3662</v>
      </c>
    </row>
    <row customHeight="1" ht="11.25">
      <c r="A60" s="66" t="s">
        <v>3663</v>
      </c>
      <c r="B60" s="66" t="s">
        <v>3664</v>
      </c>
    </row>
    <row customHeight="1" ht="11.25">
      <c r="A61" s="66"/>
      <c r="B61" s="66" t="s">
        <v>3665</v>
      </c>
    </row>
    <row customHeight="1" ht="11.25">
      <c r="A62" s="66"/>
      <c r="B62" s="66" t="s">
        <v>3666</v>
      </c>
    </row>
    <row customHeight="1" ht="11.25">
      <c r="A63" s="66"/>
      <c r="B63" s="66" t="s">
        <v>3667</v>
      </c>
    </row>
    <row customHeight="1" ht="11.25">
      <c r="A64" s="66"/>
      <c r="B64" s="66" t="s">
        <v>3668</v>
      </c>
    </row>
    <row customHeight="1" ht="11.25">
      <c r="A65" s="66"/>
      <c r="B65" s="66" t="s">
        <v>3669</v>
      </c>
    </row>
    <row customHeight="1" ht="11.25">
      <c r="A66" s="66"/>
      <c r="B66" s="66" t="s">
        <v>3670</v>
      </c>
    </row>
    <row customHeight="1" ht="11.25">
      <c r="A67" s="66"/>
      <c r="B67" s="66" t="s">
        <v>3671</v>
      </c>
    </row>
    <row customHeight="1" ht="11.25">
      <c r="A68" s="66"/>
      <c r="B68" s="66" t="s">
        <v>3672</v>
      </c>
    </row>
    <row customHeight="1" ht="11.25">
      <c r="A69" s="66"/>
      <c r="B69" s="66" t="s">
        <v>3673</v>
      </c>
    </row>
    <row customHeight="1" ht="11.25">
      <c r="A70" s="66"/>
      <c r="B70" s="66" t="s">
        <v>3674</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A0CC45-D50D-12DA-CC07-0.EC84C295}"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3675</v>
      </c>
    </row>
    <row customHeight="1" ht="90">
      <c r="B2" s="96" t="s">
        <v>3676</v>
      </c>
    </row>
    <row customHeight="1" ht="67.5">
      <c r="B3" s="96" t="s">
        <v>3677</v>
      </c>
    </row>
    <row customHeight="1" ht="33.75">
      <c r="B4" s="96" t="s">
        <v>3678</v>
      </c>
    </row>
    <row customHeight="1" ht="11.25">
      <c r="B5" s="96" t="s">
        <v>3679</v>
      </c>
    </row>
    <row customHeight="1" ht="22.5">
      <c r="B6" s="96" t="s">
        <v>3680</v>
      </c>
    </row>
    <row customHeight="1" ht="22.5">
      <c r="B7" s="96" t="s">
        <v>3681</v>
      </c>
    </row>
    <row customHeight="1" ht="22.5">
      <c r="B8" s="96" t="s">
        <v>3682</v>
      </c>
    </row>
    <row customHeight="1" ht="22.5">
      <c r="B9" s="96" t="s">
        <v>3683</v>
      </c>
    </row>
    <row customHeight="1" ht="56.25">
      <c r="B10" s="96" t="s">
        <v>3684</v>
      </c>
    </row>
    <row customHeight="1" ht="12.75">
      <c r="B11" s="161" t="s">
        <v>3685</v>
      </c>
    </row>
    <row customHeight="1" ht="11.25">
      <c r="B12" s="95" t="s">
        <v>3686</v>
      </c>
    </row>
    <row customHeight="1" ht="22.5">
      <c r="B13" s="96" t="s">
        <v>3687</v>
      </c>
    </row>
    <row customHeight="1" ht="67.5">
      <c r="B14" s="96" t="s">
        <v>3688</v>
      </c>
    </row>
    <row customHeight="1" ht="22.5">
      <c r="B15" s="96" t="s">
        <v>3689</v>
      </c>
    </row>
    <row customHeight="1" ht="11.25">
      <c r="B16" s="95" t="s">
        <v>3690</v>
      </c>
      <c r="D16" s="102"/>
    </row>
    <row customHeight="1" ht="33.75">
      <c r="B17" s="96" t="s">
        <v>3691</v>
      </c>
    </row>
    <row customHeight="1" ht="33.75">
      <c r="B18" s="96" t="s">
        <v>3692</v>
      </c>
    </row>
    <row customHeight="1" ht="11.25">
      <c r="B19" s="96" t="s">
        <v>3693</v>
      </c>
    </row>
    <row customHeight="1" ht="33.75">
      <c r="B20" s="96" t="s">
        <v>3694</v>
      </c>
    </row>
    <row customHeight="1" ht="11.25">
      <c r="B21" s="95" t="s">
        <v>3695</v>
      </c>
    </row>
    <row customHeight="1" ht="11.25">
      <c r="B22" s="96" t="s">
        <v>3696</v>
      </c>
    </row>
    <row r="24" customHeight="1" ht="22.5">
      <c r="B24" s="163" t="s">
        <v>3697</v>
      </c>
    </row>
    <row r="26" customHeight="1" ht="11.25">
      <c r="B26" s="95" t="s">
        <v>3698</v>
      </c>
    </row>
    <row customHeight="1" ht="22.5">
      <c r="B27" s="162" t="s">
        <v>405</v>
      </c>
    </row>
    <row customHeight="1" ht="56.25">
      <c r="B28" s="162" t="s">
        <v>3699</v>
      </c>
    </row>
    <row customHeight="1" ht="11.25">
      <c r="B29" s="212" t="s">
        <v>3700</v>
      </c>
    </row>
    <row customHeight="1" ht="22.5">
      <c r="B30" s="162" t="s">
        <v>3701</v>
      </c>
    </row>
    <row r="32" customHeight="1" ht="11.25">
      <c r="A32" s="190"/>
      <c r="B32" s="191" t="s">
        <v>3702</v>
      </c>
    </row>
    <row customHeight="1" ht="14.25">
      <c r="A33" s="192">
        <v>1</v>
      </c>
      <c r="B33" s="193" t="s">
        <v>3703</v>
      </c>
    </row>
    <row customHeight="1" ht="14.25">
      <c r="A34" s="192">
        <v>2</v>
      </c>
      <c r="B34" s="193" t="s">
        <v>3704</v>
      </c>
    </row>
    <row customHeight="1" ht="11.25">
      <c r="B35" s="191" t="s">
        <v>3705</v>
      </c>
    </row>
    <row customHeight="1" ht="11.25">
      <c r="B36" s="193" t="s">
        <v>3706</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